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73" firstSheet="3" activeTab="8"/>
  </bookViews>
  <sheets>
    <sheet name="PQCU" sheetId="1" r:id="rId1"/>
    <sheet name="PCCU composicoes" sheetId="2" r:id="rId2"/>
    <sheet name="PQCU IMPRESSAO" sheetId="4" r:id="rId3"/>
    <sheet name="usar essas &gt;&gt;&gt;&gt;&gt;" sheetId="11" r:id="rId4"/>
    <sheet name="PQCU (NAO DESON)" sheetId="7" r:id="rId5"/>
    <sheet name="PCCU capa" sheetId="9" r:id="rId6"/>
    <sheet name="PCCU (NAO DESON)" sheetId="8" r:id="rId7"/>
    <sheet name="COTACOES" sheetId="3" r:id="rId8"/>
    <sheet name="CRONOG FIS FINANC" sheetId="10" r:id="rId9"/>
  </sheets>
  <definedNames>
    <definedName name="AC" localSheetId="8">#REF!</definedName>
    <definedName name="AC" localSheetId="6">#REF!</definedName>
    <definedName name="AC" localSheetId="4">#REF!</definedName>
    <definedName name="AC">#REF!</definedName>
    <definedName name="agesul_serv" localSheetId="8">#REF!</definedName>
    <definedName name="agesul_serv" localSheetId="6">#REF!</definedName>
    <definedName name="agesul_serv" localSheetId="4">#REF!</definedName>
    <definedName name="agesul_serv">#REF!</definedName>
    <definedName name="_xlnm.Print_Area" localSheetId="8">'CRONOG FIS FINANC'!$A$1:$Z$42</definedName>
    <definedName name="_xlnm.Database" localSheetId="8">#REF!</definedName>
    <definedName name="_xlnm.Database" localSheetId="6">#REF!</definedName>
    <definedName name="_xlnm.Database" localSheetId="4">#REF!</definedName>
    <definedName name="_xlnm.Database">#REF!</definedName>
    <definedName name="Composição" localSheetId="8">#REF!</definedName>
    <definedName name="Composição" localSheetId="6">#REF!</definedName>
    <definedName name="Composição" localSheetId="4">#REF!</definedName>
    <definedName name="Composição">#REF!</definedName>
    <definedName name="_xlnm.Criteria" localSheetId="8">#REF!</definedName>
    <definedName name="_xlnm.Criteria" localSheetId="6">#REF!</definedName>
    <definedName name="_xlnm.Criteria" localSheetId="4">#REF!</definedName>
    <definedName name="_xlnm.Criteria">#REF!</definedName>
    <definedName name="DF" localSheetId="8">#REF!</definedName>
    <definedName name="DF" localSheetId="6">#REF!</definedName>
    <definedName name="DF" localSheetId="4">#REF!</definedName>
    <definedName name="DF">#REF!</definedName>
    <definedName name="Excel_BuiltIn_Database" localSheetId="8">#REF!</definedName>
    <definedName name="Excel_BuiltIn_Database" localSheetId="6">#REF!</definedName>
    <definedName name="Excel_BuiltIn_Database" localSheetId="4">#REF!</definedName>
    <definedName name="Excel_BuiltIn_Database">#REF!</definedName>
    <definedName name="G" localSheetId="8">#REF!</definedName>
    <definedName name="G" localSheetId="6">#REF!</definedName>
    <definedName name="G" localSheetId="4">#REF!</definedName>
    <definedName name="G">#REF!</definedName>
    <definedName name="I." localSheetId="8">#REF!</definedName>
    <definedName name="I." localSheetId="6">#REF!</definedName>
    <definedName name="I." localSheetId="4">#REF!</definedName>
    <definedName name="I.">#REF!</definedName>
    <definedName name="Insumos" localSheetId="8">#REF!</definedName>
    <definedName name="Insumos" localSheetId="6">#REF!</definedName>
    <definedName name="Insumos" localSheetId="4">#REF!</definedName>
    <definedName name="Insumos">#REF!</definedName>
    <definedName name="L." localSheetId="8">#REF!</definedName>
    <definedName name="L." localSheetId="6">#REF!</definedName>
    <definedName name="L." localSheetId="4">#REF!</definedName>
    <definedName name="L.">#REF!</definedName>
    <definedName name="Print_Area_MI" localSheetId="8">#REF!</definedName>
    <definedName name="Print_Area_MI" localSheetId="6">#REF!</definedName>
    <definedName name="Print_Area_MI" localSheetId="4">#REF!</definedName>
    <definedName name="Print_Area_MI">#REF!</definedName>
    <definedName name="R." localSheetId="8">#REF!</definedName>
    <definedName name="R." localSheetId="6">#REF!</definedName>
    <definedName name="R." localSheetId="4">#REF!</definedName>
    <definedName name="R.">#REF!</definedName>
    <definedName name="SERV" localSheetId="8">#REF!</definedName>
    <definedName name="SERV" localSheetId="6">#REF!</definedName>
    <definedName name="SERV" localSheetId="4">#REF!</definedName>
    <definedName name="SERV">#REF!</definedName>
    <definedName name="SG" localSheetId="8">#REF!</definedName>
    <definedName name="SG" localSheetId="6">#REF!</definedName>
    <definedName name="SG" localSheetId="4">#REF!</definedName>
    <definedName name="SG">#REF!</definedName>
    <definedName name="sinapi_mat" localSheetId="8">#REF!</definedName>
    <definedName name="sinapi_mat" localSheetId="6">#REF!</definedName>
    <definedName name="sinapi_mat" localSheetId="4">#REF!</definedName>
    <definedName name="sinapi_mat">#REF!</definedName>
    <definedName name="sinapi_serv" localSheetId="8">#REF!</definedName>
    <definedName name="sinapi_serv" localSheetId="6">#REF!</definedName>
    <definedName name="sinapi_serv" localSheetId="4">#REF!</definedName>
    <definedName name="sinapi_serv">#REF!</definedName>
    <definedName name="SINAPIS" localSheetId="8">#REF!</definedName>
    <definedName name="SINAPIS" localSheetId="6">#REF!</definedName>
    <definedName name="SINAPIS" localSheetId="4">#REF!</definedName>
    <definedName name="SINAPIS">#REF!</definedName>
    <definedName name="SINAPIU" localSheetId="8">#REF!</definedName>
    <definedName name="SINAPIU" localSheetId="6">#REF!</definedName>
    <definedName name="SINAPIU" localSheetId="4">#REF!</definedName>
    <definedName name="SINAPIU">#REF!</definedName>
    <definedName name="_xlnm.Print_Titles" localSheetId="8">'CRONOG FIS FINANC'!$1:$5</definedName>
    <definedName name="_xlnm.Print_Titles" localSheetId="4">'PQCU (NAO DESON)'!$1:$5</definedName>
    <definedName name="_xlnm.Print_Titles" localSheetId="2">'PQCU IMPRESSAO'!$1:$5</definedName>
    <definedName name="UNIT" localSheetId="8">#REF!</definedName>
    <definedName name="UNIT" localSheetId="6">#REF!</definedName>
    <definedName name="UNIT" localSheetId="4">#REF!</definedName>
    <definedName name="UNI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0" l="1"/>
  <c r="L38" i="10"/>
  <c r="H38" i="10"/>
  <c r="I38" i="10" s="1"/>
  <c r="F38" i="10"/>
  <c r="K38" i="10" s="1"/>
  <c r="M38" i="10" s="1"/>
  <c r="Z38" i="10" s="1"/>
  <c r="AC38" i="10" s="1"/>
  <c r="AD38" i="10" s="1"/>
  <c r="AB37" i="10"/>
  <c r="L37" i="10"/>
  <c r="M37" i="10" s="1"/>
  <c r="K37" i="10"/>
  <c r="H37" i="10"/>
  <c r="I37" i="10" s="1"/>
  <c r="AB36" i="10"/>
  <c r="F36" i="10"/>
  <c r="H36" i="10" s="1"/>
  <c r="I36" i="10" s="1"/>
  <c r="E36" i="10"/>
  <c r="L36" i="10" s="1"/>
  <c r="AB35" i="10"/>
  <c r="H35" i="10"/>
  <c r="I35" i="10" s="1"/>
  <c r="E35" i="10"/>
  <c r="K35" i="10" s="1"/>
  <c r="AB34" i="10"/>
  <c r="L34" i="10"/>
  <c r="P34" i="10" s="1"/>
  <c r="F34" i="10"/>
  <c r="H34" i="10" s="1"/>
  <c r="I34" i="10" s="1"/>
  <c r="E34" i="10"/>
  <c r="K34" i="10" s="1"/>
  <c r="AB33" i="10"/>
  <c r="L33" i="10"/>
  <c r="M33" i="10" s="1"/>
  <c r="Z33" i="10" s="1"/>
  <c r="AC33" i="10" s="1"/>
  <c r="AD33" i="10" s="1"/>
  <c r="K33" i="10"/>
  <c r="I33" i="10"/>
  <c r="H33" i="10"/>
  <c r="AB32" i="10"/>
  <c r="L32" i="10"/>
  <c r="H32" i="10"/>
  <c r="I32" i="10" s="1"/>
  <c r="F32" i="10"/>
  <c r="K32" i="10" s="1"/>
  <c r="M32" i="10" s="1"/>
  <c r="AB31" i="10"/>
  <c r="K31" i="10"/>
  <c r="H31" i="10"/>
  <c r="E31" i="10"/>
  <c r="I31" i="10" s="1"/>
  <c r="AB30" i="10"/>
  <c r="L30" i="10"/>
  <c r="P30" i="10" s="1"/>
  <c r="F30" i="10"/>
  <c r="H30" i="10" s="1"/>
  <c r="I30" i="10" s="1"/>
  <c r="E30" i="10"/>
  <c r="K30" i="10" s="1"/>
  <c r="AB29" i="10"/>
  <c r="H29" i="10"/>
  <c r="I29" i="10" s="1"/>
  <c r="E29" i="10"/>
  <c r="K29" i="10" s="1"/>
  <c r="AB28" i="10"/>
  <c r="H28" i="10"/>
  <c r="I28" i="10" s="1"/>
  <c r="G28" i="10"/>
  <c r="L28" i="10" s="1"/>
  <c r="F28" i="10"/>
  <c r="K28" i="10" s="1"/>
  <c r="AB27" i="10"/>
  <c r="L27" i="10"/>
  <c r="M27" i="10" s="1"/>
  <c r="K27" i="10"/>
  <c r="I27" i="10"/>
  <c r="H27" i="10"/>
  <c r="AB26" i="10"/>
  <c r="I26" i="10"/>
  <c r="H26" i="10"/>
  <c r="F26" i="10"/>
  <c r="E26" i="10"/>
  <c r="L26" i="10" s="1"/>
  <c r="T25" i="10"/>
  <c r="AB23" i="10"/>
  <c r="H23" i="10"/>
  <c r="I23" i="10" s="1"/>
  <c r="E23" i="10"/>
  <c r="L23" i="10" s="1"/>
  <c r="AB22" i="10"/>
  <c r="L22" i="10"/>
  <c r="M22" i="10" s="1"/>
  <c r="K22" i="10"/>
  <c r="I22" i="10"/>
  <c r="H22" i="10"/>
  <c r="AB21" i="10"/>
  <c r="L21" i="10"/>
  <c r="M21" i="10" s="1"/>
  <c r="K21" i="10"/>
  <c r="H21" i="10"/>
  <c r="I21" i="10" s="1"/>
  <c r="AB20" i="10"/>
  <c r="M20" i="10"/>
  <c r="X20" i="10" s="1"/>
  <c r="L20" i="10"/>
  <c r="K20" i="10"/>
  <c r="H20" i="10"/>
  <c r="I20" i="10" s="1"/>
  <c r="AB19" i="10"/>
  <c r="L19" i="10"/>
  <c r="H19" i="10"/>
  <c r="I19" i="10" s="1"/>
  <c r="F19" i="10"/>
  <c r="E19" i="10"/>
  <c r="K19" i="10" s="1"/>
  <c r="M19" i="10" s="1"/>
  <c r="V19" i="10" s="1"/>
  <c r="AC19" i="10" s="1"/>
  <c r="AB18" i="10"/>
  <c r="K18" i="10"/>
  <c r="I18" i="10"/>
  <c r="H18" i="10"/>
  <c r="E18" i="10"/>
  <c r="L18" i="10" s="1"/>
  <c r="M18" i="10" s="1"/>
  <c r="V18" i="10" s="1"/>
  <c r="AB17" i="10"/>
  <c r="H17" i="10"/>
  <c r="I17" i="10" s="1"/>
  <c r="E17" i="10"/>
  <c r="K17" i="10" s="1"/>
  <c r="AB16" i="10"/>
  <c r="L16" i="10"/>
  <c r="H16" i="10"/>
  <c r="I16" i="10" s="1"/>
  <c r="F16" i="10"/>
  <c r="E16" i="10"/>
  <c r="K16" i="10" s="1"/>
  <c r="M16" i="10" s="1"/>
  <c r="T16" i="10" s="1"/>
  <c r="AC16" i="10" s="1"/>
  <c r="AB15" i="10"/>
  <c r="L15" i="10"/>
  <c r="M15" i="10" s="1"/>
  <c r="K15" i="10"/>
  <c r="H15" i="10"/>
  <c r="I15" i="10" s="1"/>
  <c r="AB12" i="10"/>
  <c r="K12" i="10"/>
  <c r="I12" i="10"/>
  <c r="H12" i="10"/>
  <c r="E12" i="10"/>
  <c r="L12" i="10" s="1"/>
  <c r="AD11" i="10"/>
  <c r="AB11" i="10"/>
  <c r="M11" i="10"/>
  <c r="T11" i="10" s="1"/>
  <c r="AC11" i="10" s="1"/>
  <c r="L11" i="10"/>
  <c r="K11" i="10"/>
  <c r="H11" i="10"/>
  <c r="I11" i="10" s="1"/>
  <c r="AB10" i="10"/>
  <c r="T10" i="10"/>
  <c r="AC10" i="10" s="1"/>
  <c r="AD10" i="10" s="1"/>
  <c r="M10" i="10"/>
  <c r="L10" i="10"/>
  <c r="K10" i="10"/>
  <c r="I10" i="10"/>
  <c r="H10" i="10"/>
  <c r="AB9" i="10"/>
  <c r="M9" i="10"/>
  <c r="L9" i="10"/>
  <c r="K9" i="10"/>
  <c r="H9" i="10"/>
  <c r="I9" i="10" s="1"/>
  <c r="AB8" i="10"/>
  <c r="T8" i="10"/>
  <c r="M8" i="10"/>
  <c r="L8" i="10"/>
  <c r="K8" i="10"/>
  <c r="I8" i="10"/>
  <c r="H8" i="10"/>
  <c r="X27" i="7"/>
  <c r="AC18" i="10" l="1"/>
  <c r="P27" i="10"/>
  <c r="X27" i="10"/>
  <c r="V27" i="10"/>
  <c r="X14" i="10"/>
  <c r="Z21" i="10"/>
  <c r="X21" i="10"/>
  <c r="AC21" i="10" s="1"/>
  <c r="Z32" i="10"/>
  <c r="X32" i="10"/>
  <c r="AC32" i="10" s="1"/>
  <c r="AD32" i="10" s="1"/>
  <c r="P36" i="10"/>
  <c r="I40" i="10"/>
  <c r="AC8" i="10"/>
  <c r="AD8" i="10" s="1"/>
  <c r="T7" i="10"/>
  <c r="M12" i="10"/>
  <c r="Z15" i="10"/>
  <c r="T15" i="10"/>
  <c r="X22" i="10"/>
  <c r="Z22" i="10"/>
  <c r="X37" i="10"/>
  <c r="V37" i="10"/>
  <c r="K40" i="10"/>
  <c r="Z9" i="10"/>
  <c r="M7" i="10"/>
  <c r="X9" i="10"/>
  <c r="V9" i="10"/>
  <c r="M28" i="10"/>
  <c r="P28" i="10"/>
  <c r="L29" i="10"/>
  <c r="M29" i="10" s="1"/>
  <c r="L35" i="10"/>
  <c r="K36" i="10"/>
  <c r="M36" i="10" s="1"/>
  <c r="V36" i="10" s="1"/>
  <c r="AC36" i="10" s="1"/>
  <c r="AD36" i="10" s="1"/>
  <c r="V20" i="10"/>
  <c r="AC20" i="10" s="1"/>
  <c r="K26" i="10"/>
  <c r="M26" i="10" s="1"/>
  <c r="M30" i="10"/>
  <c r="L31" i="10"/>
  <c r="M31" i="10" s="1"/>
  <c r="V31" i="10" s="1"/>
  <c r="AC31" i="10" s="1"/>
  <c r="AD31" i="10" s="1"/>
  <c r="M34" i="10"/>
  <c r="V34" i="10" s="1"/>
  <c r="AC34" i="10" s="1"/>
  <c r="AD34" i="10" s="1"/>
  <c r="L17" i="10"/>
  <c r="M17" i="10" s="1"/>
  <c r="Z17" i="10" s="1"/>
  <c r="AC17" i="10" s="1"/>
  <c r="K23" i="10"/>
  <c r="M23" i="10" s="1"/>
  <c r="T23" i="10" s="1"/>
  <c r="AC23" i="10" s="1"/>
  <c r="AD23" i="10" s="1"/>
  <c r="P36" i="7"/>
  <c r="O36" i="7" s="1"/>
  <c r="P35" i="7"/>
  <c r="O35" i="7" s="1"/>
  <c r="P34" i="7"/>
  <c r="O34" i="7" s="1"/>
  <c r="P30" i="7"/>
  <c r="O30" i="7" s="1"/>
  <c r="P26" i="7"/>
  <c r="O26" i="7" s="1"/>
  <c r="O28" i="7"/>
  <c r="P28" i="7"/>
  <c r="X26" i="10" l="1"/>
  <c r="P26" i="10"/>
  <c r="V7" i="10"/>
  <c r="AC9" i="10"/>
  <c r="AD9" i="10" s="1"/>
  <c r="AC22" i="10"/>
  <c r="V12" i="10"/>
  <c r="Z12" i="10"/>
  <c r="X12" i="10"/>
  <c r="X7" i="10" s="1"/>
  <c r="AC27" i="10"/>
  <c r="AD27" i="10" s="1"/>
  <c r="V14" i="10"/>
  <c r="Z14" i="10"/>
  <c r="X30" i="10"/>
  <c r="V30" i="10"/>
  <c r="AC30" i="10" s="1"/>
  <c r="AD30" i="10" s="1"/>
  <c r="P35" i="10"/>
  <c r="M35" i="10"/>
  <c r="V35" i="10" s="1"/>
  <c r="AC35" i="10" s="1"/>
  <c r="AD35" i="10" s="1"/>
  <c r="X28" i="10"/>
  <c r="Z28" i="10"/>
  <c r="AC37" i="10"/>
  <c r="AD37" i="10" s="1"/>
  <c r="M14" i="10"/>
  <c r="Z29" i="10"/>
  <c r="X29" i="10"/>
  <c r="AC29" i="10" s="1"/>
  <c r="AD29" i="10" s="1"/>
  <c r="Z7" i="10"/>
  <c r="T14" i="10"/>
  <c r="AC15" i="10"/>
  <c r="L40" i="10"/>
  <c r="G28" i="7"/>
  <c r="F190" i="8"/>
  <c r="F189" i="8"/>
  <c r="F28" i="7" s="1"/>
  <c r="AC7" i="10" l="1"/>
  <c r="O35" i="10"/>
  <c r="M25" i="10"/>
  <c r="M40" i="10" s="1"/>
  <c r="L41" i="10"/>
  <c r="Z25" i="10"/>
  <c r="Y25" i="10" s="1"/>
  <c r="P40" i="10"/>
  <c r="O40" i="10" s="1"/>
  <c r="O26" i="10"/>
  <c r="Z40" i="10"/>
  <c r="U7" i="10"/>
  <c r="AC14" i="10"/>
  <c r="AD14" i="10" s="1"/>
  <c r="T40" i="10"/>
  <c r="AC28" i="10"/>
  <c r="AD28" i="10" s="1"/>
  <c r="V25" i="10"/>
  <c r="AC12" i="10"/>
  <c r="AD12" i="10" s="1"/>
  <c r="X25" i="10"/>
  <c r="W25" i="10" s="1"/>
  <c r="AC26" i="10"/>
  <c r="AD26" i="10" s="1"/>
  <c r="Z38" i="7"/>
  <c r="X37" i="7"/>
  <c r="V37" i="7"/>
  <c r="V36" i="7"/>
  <c r="V35" i="7"/>
  <c r="V34" i="7"/>
  <c r="Z33" i="7"/>
  <c r="Z32" i="7"/>
  <c r="X32" i="7"/>
  <c r="V31" i="7"/>
  <c r="X30" i="7"/>
  <c r="V30" i="7"/>
  <c r="X29" i="7"/>
  <c r="Z29" i="7"/>
  <c r="X26" i="7"/>
  <c r="T23" i="7"/>
  <c r="Z22" i="7"/>
  <c r="X22" i="7"/>
  <c r="Z21" i="7"/>
  <c r="X21" i="7"/>
  <c r="X20" i="7"/>
  <c r="V20" i="7"/>
  <c r="V19" i="7"/>
  <c r="V18" i="7"/>
  <c r="Z17" i="7"/>
  <c r="T16" i="7"/>
  <c r="Z15" i="7"/>
  <c r="T15" i="7"/>
  <c r="Z12" i="7"/>
  <c r="X12" i="7"/>
  <c r="V12" i="7"/>
  <c r="Z9" i="7"/>
  <c r="X9" i="7"/>
  <c r="V9" i="7"/>
  <c r="T11" i="7"/>
  <c r="T10" i="7"/>
  <c r="T8" i="7"/>
  <c r="Y40" i="10" l="1"/>
  <c r="AC40" i="10"/>
  <c r="AD40" i="10" s="1"/>
  <c r="AD7" i="10"/>
  <c r="U25" i="10"/>
  <c r="AC25" i="10"/>
  <c r="AD25" i="10" s="1"/>
  <c r="S40" i="10"/>
  <c r="S42" i="10" s="1"/>
  <c r="T42" i="10"/>
  <c r="V40" i="10"/>
  <c r="M41" i="10"/>
  <c r="S25" i="10"/>
  <c r="AB25" i="10" s="1"/>
  <c r="O30" i="10"/>
  <c r="O34" i="10"/>
  <c r="K41" i="10"/>
  <c r="O28" i="10"/>
  <c r="O27" i="10"/>
  <c r="W14" i="10"/>
  <c r="O36" i="10"/>
  <c r="S7" i="10"/>
  <c r="W7" i="10"/>
  <c r="S14" i="10"/>
  <c r="Y7" i="10"/>
  <c r="U14" i="10"/>
  <c r="Y14" i="10"/>
  <c r="X40" i="10"/>
  <c r="F374" i="2"/>
  <c r="G374" i="2" s="1"/>
  <c r="D374" i="2"/>
  <c r="H352" i="2"/>
  <c r="G352" i="2"/>
  <c r="H351" i="2"/>
  <c r="G351" i="2"/>
  <c r="H350" i="2"/>
  <c r="G350" i="2"/>
  <c r="H349" i="2"/>
  <c r="G349" i="2"/>
  <c r="H348" i="2"/>
  <c r="G348" i="2"/>
  <c r="H347" i="2"/>
  <c r="G347" i="2"/>
  <c r="G353" i="2" s="1"/>
  <c r="H33" i="1"/>
  <c r="I33" i="1" s="1"/>
  <c r="K33" i="1"/>
  <c r="L33" i="1"/>
  <c r="AB33" i="1"/>
  <c r="G347" i="8"/>
  <c r="H347" i="8"/>
  <c r="G348" i="8"/>
  <c r="G354" i="8" s="1"/>
  <c r="G355" i="8" s="1"/>
  <c r="H348" i="8"/>
  <c r="G349" i="8"/>
  <c r="H349" i="8"/>
  <c r="G350" i="8"/>
  <c r="H350" i="8"/>
  <c r="G351" i="8"/>
  <c r="H351" i="8"/>
  <c r="G352" i="8"/>
  <c r="H352" i="8"/>
  <c r="G353" i="8"/>
  <c r="D374" i="8"/>
  <c r="F374" i="8" s="1"/>
  <c r="H33" i="7"/>
  <c r="I33" i="7" s="1"/>
  <c r="K33" i="7"/>
  <c r="L33" i="7"/>
  <c r="M33" i="7" s="1"/>
  <c r="AB33" i="7"/>
  <c r="AB7" i="10" l="1"/>
  <c r="W40" i="10"/>
  <c r="AB14" i="10"/>
  <c r="V42" i="10"/>
  <c r="X42" i="10" s="1"/>
  <c r="Z42" i="10" s="1"/>
  <c r="U40" i="10"/>
  <c r="U42" i="10" s="1"/>
  <c r="M33" i="1"/>
  <c r="Z33" i="1" s="1"/>
  <c r="G354" i="2"/>
  <c r="G355" i="2"/>
  <c r="G374" i="8"/>
  <c r="F38" i="7"/>
  <c r="K38" i="7" s="1"/>
  <c r="F32" i="7"/>
  <c r="K32" i="7" s="1"/>
  <c r="F30" i="7"/>
  <c r="F19" i="7"/>
  <c r="F16" i="7"/>
  <c r="I300" i="8"/>
  <c r="H300" i="8"/>
  <c r="H304" i="8" s="1"/>
  <c r="I299" i="8"/>
  <c r="H299" i="8"/>
  <c r="H303" i="8" s="1"/>
  <c r="F191" i="8"/>
  <c r="G22" i="8"/>
  <c r="G21" i="8"/>
  <c r="G20" i="8"/>
  <c r="F19" i="8"/>
  <c r="G19" i="8" s="1"/>
  <c r="G18" i="8"/>
  <c r="F17" i="8"/>
  <c r="G17" i="8" s="1"/>
  <c r="AB38" i="7"/>
  <c r="L38" i="7"/>
  <c r="AB37" i="7"/>
  <c r="L37" i="7"/>
  <c r="M37" i="7" s="1"/>
  <c r="K37" i="7"/>
  <c r="H37" i="7"/>
  <c r="I37" i="7" s="1"/>
  <c r="AB36" i="7"/>
  <c r="F36" i="7"/>
  <c r="H36" i="7" s="1"/>
  <c r="I36" i="7" s="1"/>
  <c r="E36" i="7"/>
  <c r="L36" i="7" s="1"/>
  <c r="AB35" i="7"/>
  <c r="H35" i="7"/>
  <c r="I35" i="7" s="1"/>
  <c r="E35" i="7"/>
  <c r="L35" i="7" s="1"/>
  <c r="AB34" i="7"/>
  <c r="L34" i="7"/>
  <c r="H34" i="7"/>
  <c r="I34" i="7" s="1"/>
  <c r="F34" i="7"/>
  <c r="E34" i="7"/>
  <c r="K34" i="7" s="1"/>
  <c r="AB32" i="7"/>
  <c r="H32" i="7"/>
  <c r="I32" i="7" s="1"/>
  <c r="L32" i="7"/>
  <c r="AB31" i="7"/>
  <c r="H31" i="7"/>
  <c r="I31" i="7" s="1"/>
  <c r="E31" i="7"/>
  <c r="L31" i="7" s="1"/>
  <c r="AB30" i="7"/>
  <c r="L30" i="7"/>
  <c r="H30" i="7"/>
  <c r="I30" i="7" s="1"/>
  <c r="E30" i="7"/>
  <c r="K30" i="7" s="1"/>
  <c r="AB29" i="7"/>
  <c r="H29" i="7"/>
  <c r="I29" i="7" s="1"/>
  <c r="E29" i="7"/>
  <c r="L29" i="7" s="1"/>
  <c r="AB28" i="7"/>
  <c r="L28" i="7"/>
  <c r="K28" i="7"/>
  <c r="H28" i="7"/>
  <c r="I28" i="7" s="1"/>
  <c r="AB27" i="7"/>
  <c r="L27" i="7"/>
  <c r="K27" i="7"/>
  <c r="H27" i="7"/>
  <c r="I27" i="7" s="1"/>
  <c r="AB26" i="7"/>
  <c r="F26" i="7"/>
  <c r="H26" i="7" s="1"/>
  <c r="I26" i="7" s="1"/>
  <c r="E26" i="7"/>
  <c r="L26" i="7" s="1"/>
  <c r="AB23" i="7"/>
  <c r="H23" i="7"/>
  <c r="I23" i="7" s="1"/>
  <c r="E23" i="7"/>
  <c r="L23" i="7" s="1"/>
  <c r="AB22" i="7"/>
  <c r="L22" i="7"/>
  <c r="K22" i="7"/>
  <c r="H22" i="7"/>
  <c r="I22" i="7" s="1"/>
  <c r="AB21" i="7"/>
  <c r="L21" i="7"/>
  <c r="K21" i="7"/>
  <c r="H21" i="7"/>
  <c r="I21" i="7" s="1"/>
  <c r="AB20" i="7"/>
  <c r="L20" i="7"/>
  <c r="M20" i="7" s="1"/>
  <c r="K20" i="7"/>
  <c r="H20" i="7"/>
  <c r="I20" i="7" s="1"/>
  <c r="AB19" i="7"/>
  <c r="H19" i="7"/>
  <c r="E19" i="7"/>
  <c r="I19" i="7" s="1"/>
  <c r="AB18" i="7"/>
  <c r="H18" i="7"/>
  <c r="I18" i="7" s="1"/>
  <c r="E18" i="7"/>
  <c r="L18" i="7" s="1"/>
  <c r="AB17" i="7"/>
  <c r="K17" i="7"/>
  <c r="H17" i="7"/>
  <c r="I17" i="7" s="1"/>
  <c r="E17" i="7"/>
  <c r="L17" i="7" s="1"/>
  <c r="AB16" i="7"/>
  <c r="L16" i="7"/>
  <c r="H16" i="7"/>
  <c r="I16" i="7" s="1"/>
  <c r="E16" i="7"/>
  <c r="K16" i="7" s="1"/>
  <c r="AB15" i="7"/>
  <c r="L15" i="7"/>
  <c r="K15" i="7"/>
  <c r="I15" i="7"/>
  <c r="H15" i="7"/>
  <c r="AB12" i="7"/>
  <c r="H12" i="7"/>
  <c r="E12" i="7"/>
  <c r="K12" i="7" s="1"/>
  <c r="AB11" i="7"/>
  <c r="L11" i="7"/>
  <c r="K11" i="7"/>
  <c r="H11" i="7"/>
  <c r="I11" i="7" s="1"/>
  <c r="AB10" i="7"/>
  <c r="L10" i="7"/>
  <c r="M10" i="7" s="1"/>
  <c r="K10" i="7"/>
  <c r="I10" i="7"/>
  <c r="H10" i="7"/>
  <c r="AB9" i="7"/>
  <c r="L9" i="7"/>
  <c r="K9" i="7"/>
  <c r="H9" i="7"/>
  <c r="I9" i="7" s="1"/>
  <c r="AB8" i="7"/>
  <c r="L8" i="7"/>
  <c r="M8" i="7" s="1"/>
  <c r="K8" i="7"/>
  <c r="I8" i="7"/>
  <c r="H8" i="7"/>
  <c r="AC23" i="1"/>
  <c r="AB23" i="1"/>
  <c r="AB22" i="1"/>
  <c r="AB21" i="1"/>
  <c r="AB20" i="1"/>
  <c r="AB19" i="1"/>
  <c r="AB18" i="1"/>
  <c r="AB17" i="1"/>
  <c r="AB16" i="1"/>
  <c r="AB15" i="1"/>
  <c r="L38" i="1"/>
  <c r="K38" i="1"/>
  <c r="M38" i="1" s="1"/>
  <c r="L37" i="1"/>
  <c r="M37" i="1" s="1"/>
  <c r="K37" i="1"/>
  <c r="L36" i="1"/>
  <c r="M36" i="1" s="1"/>
  <c r="K36" i="1"/>
  <c r="L35" i="1"/>
  <c r="M35" i="1" s="1"/>
  <c r="K35" i="1"/>
  <c r="L34" i="1"/>
  <c r="K34" i="1"/>
  <c r="M32" i="1"/>
  <c r="L32" i="1"/>
  <c r="K32" i="1"/>
  <c r="L31" i="1"/>
  <c r="K31" i="1"/>
  <c r="L30" i="1"/>
  <c r="K30" i="1"/>
  <c r="M30" i="1" s="1"/>
  <c r="L29" i="1"/>
  <c r="K29" i="1"/>
  <c r="L28" i="1"/>
  <c r="M28" i="1" s="1"/>
  <c r="K28" i="1"/>
  <c r="L27" i="1"/>
  <c r="M27" i="1" s="1"/>
  <c r="K27" i="1"/>
  <c r="L26" i="1"/>
  <c r="K26" i="1"/>
  <c r="L23" i="1"/>
  <c r="K23" i="1"/>
  <c r="M23" i="1" s="1"/>
  <c r="L22" i="1"/>
  <c r="M22" i="1" s="1"/>
  <c r="K22" i="1"/>
  <c r="M21" i="1"/>
  <c r="L21" i="1"/>
  <c r="K21" i="1"/>
  <c r="L20" i="1"/>
  <c r="K20" i="1"/>
  <c r="L19" i="1"/>
  <c r="K19" i="1"/>
  <c r="M19" i="1" s="1"/>
  <c r="L18" i="1"/>
  <c r="K18" i="1"/>
  <c r="L17" i="1"/>
  <c r="M17" i="1" s="1"/>
  <c r="K17" i="1"/>
  <c r="L16" i="1"/>
  <c r="M16" i="1" s="1"/>
  <c r="K16" i="1"/>
  <c r="L15" i="1"/>
  <c r="K15" i="1"/>
  <c r="L12" i="1"/>
  <c r="M12" i="1" s="1"/>
  <c r="K12" i="1"/>
  <c r="L11" i="1"/>
  <c r="K11" i="1"/>
  <c r="M11" i="1" s="1"/>
  <c r="L10" i="1"/>
  <c r="K10" i="1"/>
  <c r="L9" i="1"/>
  <c r="K9" i="1"/>
  <c r="F38" i="1"/>
  <c r="I300" i="2"/>
  <c r="H300" i="2"/>
  <c r="H304" i="2" s="1"/>
  <c r="I299" i="2"/>
  <c r="H299" i="2"/>
  <c r="H303" i="2" s="1"/>
  <c r="G36" i="1"/>
  <c r="F36" i="1"/>
  <c r="E36" i="1"/>
  <c r="F34" i="1"/>
  <c r="G32" i="1"/>
  <c r="F32" i="1"/>
  <c r="E30" i="1"/>
  <c r="E26" i="1"/>
  <c r="F30" i="1"/>
  <c r="F191" i="2"/>
  <c r="F190" i="2"/>
  <c r="F189" i="2"/>
  <c r="W42" i="10" l="1"/>
  <c r="Y42" i="10" s="1"/>
  <c r="M27" i="7"/>
  <c r="P27" i="7" s="1"/>
  <c r="AC33" i="1"/>
  <c r="AD33" i="1" s="1"/>
  <c r="M10" i="1"/>
  <c r="M9" i="1"/>
  <c r="M15" i="1"/>
  <c r="M18" i="1"/>
  <c r="M20" i="1"/>
  <c r="M26" i="1"/>
  <c r="M29" i="1"/>
  <c r="M31" i="1"/>
  <c r="M34" i="1"/>
  <c r="H305" i="2"/>
  <c r="H305" i="8"/>
  <c r="AC33" i="7"/>
  <c r="AD33" i="7" s="1"/>
  <c r="M30" i="7"/>
  <c r="M22" i="7"/>
  <c r="M16" i="7"/>
  <c r="AC16" i="7" s="1"/>
  <c r="G25" i="8"/>
  <c r="M34" i="7"/>
  <c r="M28" i="7"/>
  <c r="M38" i="7"/>
  <c r="AC38" i="7" s="1"/>
  <c r="AD38" i="7" s="1"/>
  <c r="M17" i="7"/>
  <c r="AC17" i="7" s="1"/>
  <c r="M15" i="7"/>
  <c r="M21" i="7"/>
  <c r="M9" i="7"/>
  <c r="AC8" i="7"/>
  <c r="AD8" i="7" s="1"/>
  <c r="G26" i="8"/>
  <c r="M32" i="7"/>
  <c r="L12" i="7"/>
  <c r="M12" i="7" s="1"/>
  <c r="K26" i="7"/>
  <c r="M26" i="7" s="1"/>
  <c r="K36" i="7"/>
  <c r="M36" i="7" s="1"/>
  <c r="M11" i="7"/>
  <c r="K18" i="7"/>
  <c r="L19" i="7"/>
  <c r="K31" i="7"/>
  <c r="M31" i="7" s="1"/>
  <c r="H38" i="7"/>
  <c r="I38" i="7" s="1"/>
  <c r="I40" i="7" s="1"/>
  <c r="I12" i="7"/>
  <c r="K23" i="7"/>
  <c r="M23" i="7" s="1"/>
  <c r="AC23" i="7" s="1"/>
  <c r="K29" i="7"/>
  <c r="M29" i="7" s="1"/>
  <c r="K35" i="7"/>
  <c r="M35" i="7" s="1"/>
  <c r="K19" i="7"/>
  <c r="H38" i="1"/>
  <c r="I38" i="1" s="1"/>
  <c r="H37" i="1"/>
  <c r="I37" i="1" s="1"/>
  <c r="H36" i="1"/>
  <c r="I36" i="1" s="1"/>
  <c r="H35" i="1"/>
  <c r="I35" i="1" s="1"/>
  <c r="H34" i="1"/>
  <c r="I34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G26" i="1"/>
  <c r="F26" i="1"/>
  <c r="E23" i="1"/>
  <c r="X22" i="1"/>
  <c r="H22" i="1"/>
  <c r="I22" i="1" s="1"/>
  <c r="F19" i="1"/>
  <c r="F16" i="1"/>
  <c r="F19" i="2"/>
  <c r="G19" i="2" s="1"/>
  <c r="G20" i="2"/>
  <c r="F17" i="2"/>
  <c r="G17" i="2" s="1"/>
  <c r="G26" i="2" s="1"/>
  <c r="G18" i="2"/>
  <c r="G22" i="2"/>
  <c r="G21" i="2"/>
  <c r="G25" i="2" s="1"/>
  <c r="G27" i="2" s="1"/>
  <c r="K8" i="1"/>
  <c r="H9" i="1"/>
  <c r="H10" i="1"/>
  <c r="H11" i="1"/>
  <c r="H12" i="1"/>
  <c r="V27" i="7" l="1"/>
  <c r="Z28" i="7"/>
  <c r="AC28" i="7" s="1"/>
  <c r="AD28" i="7" s="1"/>
  <c r="X28" i="7"/>
  <c r="G27" i="8"/>
  <c r="X14" i="7"/>
  <c r="AC20" i="7"/>
  <c r="AD23" i="7"/>
  <c r="AC15" i="7"/>
  <c r="AC37" i="7"/>
  <c r="AD37" i="7" s="1"/>
  <c r="K40" i="7"/>
  <c r="M19" i="7"/>
  <c r="M25" i="7"/>
  <c r="V7" i="7"/>
  <c r="AC30" i="7"/>
  <c r="AD30" i="7" s="1"/>
  <c r="AC22" i="7"/>
  <c r="M18" i="7"/>
  <c r="M7" i="7"/>
  <c r="AC10" i="7"/>
  <c r="AD10" i="7" s="1"/>
  <c r="AC21" i="7"/>
  <c r="AC9" i="7"/>
  <c r="AD9" i="7" s="1"/>
  <c r="L40" i="7"/>
  <c r="AC34" i="7"/>
  <c r="AD34" i="7" s="1"/>
  <c r="V36" i="1"/>
  <c r="V35" i="1"/>
  <c r="V34" i="1"/>
  <c r="Z32" i="1"/>
  <c r="I26" i="1"/>
  <c r="Z22" i="1"/>
  <c r="AC22" i="1" s="1"/>
  <c r="V37" i="1"/>
  <c r="T37" i="1"/>
  <c r="T36" i="1"/>
  <c r="T31" i="1"/>
  <c r="V31" i="1"/>
  <c r="V30" i="1"/>
  <c r="Z29" i="1"/>
  <c r="Z28" i="1"/>
  <c r="V27" i="1"/>
  <c r="X37" i="1"/>
  <c r="AB37" i="1"/>
  <c r="AC27" i="7" l="1"/>
  <c r="AD27" i="7" s="1"/>
  <c r="Z25" i="7"/>
  <c r="X7" i="7"/>
  <c r="V25" i="7"/>
  <c r="AC35" i="7"/>
  <c r="AD35" i="7" s="1"/>
  <c r="Z14" i="7"/>
  <c r="Z7" i="7"/>
  <c r="V14" i="7"/>
  <c r="M14" i="7"/>
  <c r="M40" i="7" s="1"/>
  <c r="AC31" i="7"/>
  <c r="AD31" i="7" s="1"/>
  <c r="T25" i="7"/>
  <c r="AC32" i="7"/>
  <c r="AD32" i="7" s="1"/>
  <c r="AC19" i="7"/>
  <c r="AC11" i="7"/>
  <c r="AD11" i="7" s="1"/>
  <c r="T7" i="7"/>
  <c r="AC12" i="7"/>
  <c r="AD12" i="7" s="1"/>
  <c r="X25" i="7"/>
  <c r="AC26" i="7"/>
  <c r="AD26" i="7" s="1"/>
  <c r="AC36" i="7"/>
  <c r="AD36" i="7" s="1"/>
  <c r="AC29" i="7"/>
  <c r="AD29" i="7" s="1"/>
  <c r="T35" i="1"/>
  <c r="AC37" i="1"/>
  <c r="AD37" i="1" s="1"/>
  <c r="T34" i="1"/>
  <c r="O27" i="7" l="1"/>
  <c r="Z40" i="7"/>
  <c r="Y40" i="7" s="1"/>
  <c r="V40" i="7"/>
  <c r="U40" i="7" s="1"/>
  <c r="L41" i="7"/>
  <c r="W25" i="7"/>
  <c r="Y7" i="7"/>
  <c r="U25" i="7"/>
  <c r="M41" i="7"/>
  <c r="P40" i="7"/>
  <c r="O40" i="7" s="1"/>
  <c r="K41" i="7"/>
  <c r="Y14" i="7"/>
  <c r="X40" i="7"/>
  <c r="U7" i="7"/>
  <c r="AC25" i="7"/>
  <c r="AD25" i="7" s="1"/>
  <c r="S25" i="7"/>
  <c r="AC18" i="7"/>
  <c r="T14" i="7"/>
  <c r="W7" i="7"/>
  <c r="Y25" i="7"/>
  <c r="AC7" i="7"/>
  <c r="S7" i="7"/>
  <c r="U14" i="7"/>
  <c r="W14" i="7"/>
  <c r="E12" i="1"/>
  <c r="AB25" i="7" l="1"/>
  <c r="AB7" i="7"/>
  <c r="S14" i="7"/>
  <c r="AB14" i="7" s="1"/>
  <c r="AC14" i="7"/>
  <c r="AD14" i="7" s="1"/>
  <c r="W40" i="7"/>
  <c r="T40" i="7"/>
  <c r="AD7" i="7"/>
  <c r="H20" i="1"/>
  <c r="I20" i="1" s="1"/>
  <c r="H21" i="1"/>
  <c r="I21" i="1" s="1"/>
  <c r="AC40" i="7" l="1"/>
  <c r="AD40" i="7" s="1"/>
  <c r="S40" i="7"/>
  <c r="S42" i="7" s="1"/>
  <c r="U42" i="7" s="1"/>
  <c r="W42" i="7" s="1"/>
  <c r="Y42" i="7" s="1"/>
  <c r="T42" i="7"/>
  <c r="V42" i="7" s="1"/>
  <c r="X42" i="7" s="1"/>
  <c r="Z42" i="7" s="1"/>
  <c r="X21" i="1"/>
  <c r="Z21" i="1"/>
  <c r="V20" i="1"/>
  <c r="T20" i="1"/>
  <c r="X20" i="1"/>
  <c r="X14" i="1" s="1"/>
  <c r="E35" i="1"/>
  <c r="E34" i="1"/>
  <c r="E31" i="1"/>
  <c r="E29" i="1"/>
  <c r="E19" i="1"/>
  <c r="E16" i="1"/>
  <c r="E17" i="1"/>
  <c r="E18" i="1"/>
  <c r="H15" i="1"/>
  <c r="I15" i="1" s="1"/>
  <c r="AC21" i="1" l="1"/>
  <c r="AC20" i="1"/>
  <c r="T15" i="1"/>
  <c r="Z15" i="1"/>
  <c r="V19" i="1"/>
  <c r="H18" i="1"/>
  <c r="I18" i="1" s="1"/>
  <c r="H19" i="1"/>
  <c r="I19" i="1" s="1"/>
  <c r="Z17" i="1"/>
  <c r="AC17" i="1" s="1"/>
  <c r="Z14" i="1" l="1"/>
  <c r="AC15" i="1"/>
  <c r="T19" i="1"/>
  <c r="AC19" i="1" s="1"/>
  <c r="V18" i="1"/>
  <c r="V14" i="1" s="1"/>
  <c r="T18" i="1"/>
  <c r="AC18" i="1" s="1"/>
  <c r="H17" i="1"/>
  <c r="I17" i="1" s="1"/>
  <c r="H23" i="1"/>
  <c r="I23" i="1" s="1"/>
  <c r="H8" i="1"/>
  <c r="I8" i="1" s="1"/>
  <c r="L8" i="1"/>
  <c r="AB8" i="1"/>
  <c r="AB9" i="1"/>
  <c r="I10" i="1"/>
  <c r="AB10" i="1"/>
  <c r="AB11" i="1"/>
  <c r="I12" i="1"/>
  <c r="AB12" i="1"/>
  <c r="H16" i="1"/>
  <c r="I16" i="1" s="1"/>
  <c r="T25" i="1"/>
  <c r="AB26" i="1"/>
  <c r="AB27" i="1"/>
  <c r="AB28" i="1"/>
  <c r="AB29" i="1"/>
  <c r="AB30" i="1"/>
  <c r="AB31" i="1"/>
  <c r="AB32" i="1"/>
  <c r="AB34" i="1"/>
  <c r="AB35" i="1"/>
  <c r="AB36" i="1"/>
  <c r="AB38" i="1"/>
  <c r="T23" i="1" l="1"/>
  <c r="X34" i="1"/>
  <c r="AC34" i="1" s="1"/>
  <c r="AD34" i="1" s="1"/>
  <c r="X32" i="1"/>
  <c r="AC32" i="1" s="1"/>
  <c r="AD32" i="1" s="1"/>
  <c r="X28" i="1"/>
  <c r="AC28" i="1" s="1"/>
  <c r="AD28" i="1" s="1"/>
  <c r="X29" i="1"/>
  <c r="AC29" i="1" s="1"/>
  <c r="AD29" i="1" s="1"/>
  <c r="X26" i="1"/>
  <c r="X30" i="1"/>
  <c r="AC30" i="1" s="1"/>
  <c r="AD30" i="1" s="1"/>
  <c r="T10" i="1"/>
  <c r="M8" i="1"/>
  <c r="X35" i="1"/>
  <c r="AC35" i="1" s="1"/>
  <c r="AD35" i="1" s="1"/>
  <c r="X31" i="1"/>
  <c r="AC31" i="1" s="1"/>
  <c r="AD31" i="1" s="1"/>
  <c r="X36" i="1"/>
  <c r="AC36" i="1" s="1"/>
  <c r="AD36" i="1" s="1"/>
  <c r="I9" i="1"/>
  <c r="I11" i="1"/>
  <c r="X8" i="1" l="1"/>
  <c r="T8" i="1"/>
  <c r="Z11" i="1"/>
  <c r="T11" i="1"/>
  <c r="M14" i="1"/>
  <c r="T16" i="1"/>
  <c r="V12" i="1"/>
  <c r="T12" i="1"/>
  <c r="T9" i="1"/>
  <c r="V9" i="1"/>
  <c r="Z38" i="1"/>
  <c r="AC38" i="1" s="1"/>
  <c r="AD38" i="1" s="1"/>
  <c r="M25" i="1"/>
  <c r="X11" i="1"/>
  <c r="Z8" i="1"/>
  <c r="AD23" i="1"/>
  <c r="X12" i="1"/>
  <c r="Z12" i="1"/>
  <c r="X10" i="1"/>
  <c r="Z10" i="1"/>
  <c r="X9" i="1"/>
  <c r="Z9" i="1"/>
  <c r="X27" i="1"/>
  <c r="AC27" i="1" s="1"/>
  <c r="AD27" i="1" s="1"/>
  <c r="AC26" i="1"/>
  <c r="AD26" i="1" s="1"/>
  <c r="BS167" i="4"/>
  <c r="BS166" i="4"/>
  <c r="BS165" i="4"/>
  <c r="BS164" i="4"/>
  <c r="BS163" i="4"/>
  <c r="BS162" i="4"/>
  <c r="BS161" i="4"/>
  <c r="BS160" i="4"/>
  <c r="BS159" i="4"/>
  <c r="BS158" i="4"/>
  <c r="BO170" i="4"/>
  <c r="BM170" i="4"/>
  <c r="BK170" i="4"/>
  <c r="BO156" i="4"/>
  <c r="BM146" i="4"/>
  <c r="BO146" i="4"/>
  <c r="BM147" i="4"/>
  <c r="BO147" i="4"/>
  <c r="BM148" i="4"/>
  <c r="BO148" i="4"/>
  <c r="BM149" i="4"/>
  <c r="BO149" i="4"/>
  <c r="BM150" i="4"/>
  <c r="BO150" i="4"/>
  <c r="BO144" i="4"/>
  <c r="BO143" i="4"/>
  <c r="BO142" i="4"/>
  <c r="BO141" i="4"/>
  <c r="BO140" i="4"/>
  <c r="BK138" i="4"/>
  <c r="BK137" i="4"/>
  <c r="BK136" i="4"/>
  <c r="BO135" i="4"/>
  <c r="BO134" i="4"/>
  <c r="BO133" i="4"/>
  <c r="BO132" i="4"/>
  <c r="BO131" i="4"/>
  <c r="BK130" i="4"/>
  <c r="BK129" i="4"/>
  <c r="BO129" i="4"/>
  <c r="BS127" i="4"/>
  <c r="BS128" i="4"/>
  <c r="BS139" i="4"/>
  <c r="BS151" i="4"/>
  <c r="BS152" i="4"/>
  <c r="BS153" i="4"/>
  <c r="BS154" i="4"/>
  <c r="BS155" i="4"/>
  <c r="BO128" i="4"/>
  <c r="BK128" i="4"/>
  <c r="BK127" i="4"/>
  <c r="BS126" i="4"/>
  <c r="BK126" i="4"/>
  <c r="BS123" i="4"/>
  <c r="BS122" i="4"/>
  <c r="BK123" i="4"/>
  <c r="BK120" i="4"/>
  <c r="BK119" i="4"/>
  <c r="BK118" i="4"/>
  <c r="BK117" i="4"/>
  <c r="BK116" i="4"/>
  <c r="BK115" i="4"/>
  <c r="BK114" i="4"/>
  <c r="BK113" i="4"/>
  <c r="BK112" i="4"/>
  <c r="BK111" i="4"/>
  <c r="BK110" i="4"/>
  <c r="BK109" i="4"/>
  <c r="BK108" i="4"/>
  <c r="BK107" i="4"/>
  <c r="BK106" i="4"/>
  <c r="BK105" i="4"/>
  <c r="BK104" i="4"/>
  <c r="BK103" i="4"/>
  <c r="BK102" i="4"/>
  <c r="BK101" i="4"/>
  <c r="BK100" i="4"/>
  <c r="BK99" i="4"/>
  <c r="BK98" i="4"/>
  <c r="BK97" i="4"/>
  <c r="BK96" i="4"/>
  <c r="BK95" i="4"/>
  <c r="BK94" i="4"/>
  <c r="BK93" i="4"/>
  <c r="BK92" i="4"/>
  <c r="BK91" i="4"/>
  <c r="BK90" i="4"/>
  <c r="BK89" i="4"/>
  <c r="BK88" i="4"/>
  <c r="BK87" i="4"/>
  <c r="BK86" i="4"/>
  <c r="BK85" i="4"/>
  <c r="BK84" i="4"/>
  <c r="BK83" i="4"/>
  <c r="BK82" i="4"/>
  <c r="BS81" i="4"/>
  <c r="BK8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K78" i="4"/>
  <c r="BK77" i="4"/>
  <c r="BK76" i="4"/>
  <c r="BK75" i="4"/>
  <c r="BK74" i="4"/>
  <c r="BK73" i="4"/>
  <c r="BK72" i="4"/>
  <c r="BK71" i="4"/>
  <c r="BK70" i="4"/>
  <c r="BK69" i="4"/>
  <c r="BK68" i="4"/>
  <c r="BK67" i="4"/>
  <c r="BK66" i="4"/>
  <c r="BK65" i="4"/>
  <c r="BK64" i="4"/>
  <c r="BK63" i="4"/>
  <c r="BK62" i="4"/>
  <c r="BK61" i="4"/>
  <c r="BS60" i="4"/>
  <c r="BK60" i="4"/>
  <c r="BS45" i="4"/>
  <c r="BS44" i="4"/>
  <c r="BS43" i="4"/>
  <c r="BS42" i="4"/>
  <c r="BS41" i="4"/>
  <c r="BS40" i="4"/>
  <c r="BS39" i="4"/>
  <c r="BS38" i="4"/>
  <c r="BS37" i="4"/>
  <c r="BS35" i="4"/>
  <c r="BS34" i="4"/>
  <c r="BS33" i="4"/>
  <c r="BS32" i="4"/>
  <c r="BS31" i="4"/>
  <c r="BS30" i="4"/>
  <c r="BS29" i="4"/>
  <c r="BS28" i="4"/>
  <c r="BS27" i="4"/>
  <c r="BK57" i="4"/>
  <c r="BK56" i="4"/>
  <c r="BK55" i="4"/>
  <c r="BK54" i="4"/>
  <c r="BK53" i="4"/>
  <c r="BK52" i="4"/>
  <c r="BK51" i="4"/>
  <c r="BK50" i="4"/>
  <c r="BK49" i="4"/>
  <c r="BK48" i="4"/>
  <c r="BO25" i="4"/>
  <c r="BM25" i="4"/>
  <c r="BK25" i="4"/>
  <c r="BK15" i="4"/>
  <c r="BM15" i="4"/>
  <c r="BO15" i="4"/>
  <c r="BS10" i="4"/>
  <c r="BS11" i="4"/>
  <c r="BS12" i="4"/>
  <c r="BS13" i="4"/>
  <c r="BS14" i="4"/>
  <c r="BS16" i="4"/>
  <c r="BS17" i="4"/>
  <c r="BS18" i="4"/>
  <c r="BS19" i="4"/>
  <c r="BS20" i="4"/>
  <c r="BS21" i="4"/>
  <c r="BS22" i="4"/>
  <c r="BS23" i="4"/>
  <c r="BS24" i="4"/>
  <c r="BO14" i="4"/>
  <c r="BM14" i="4"/>
  <c r="BK14" i="4"/>
  <c r="BS8" i="4"/>
  <c r="BS9" i="4"/>
  <c r="BK9" i="4"/>
  <c r="AC16" i="1" l="1"/>
  <c r="T14" i="1"/>
  <c r="AC14" i="1" s="1"/>
  <c r="AC11" i="1"/>
  <c r="AD11" i="1" s="1"/>
  <c r="AC8" i="1"/>
  <c r="AD8" i="1" s="1"/>
  <c r="Z25" i="1"/>
  <c r="AC12" i="1"/>
  <c r="AD12" i="1" s="1"/>
  <c r="V25" i="1"/>
  <c r="AD14" i="1"/>
  <c r="AC10" i="1"/>
  <c r="AD10" i="1" s="1"/>
  <c r="X25" i="1"/>
  <c r="AC9" i="1"/>
  <c r="AD9" i="1" s="1"/>
  <c r="BO167" i="4"/>
  <c r="BO166" i="4"/>
  <c r="BO165" i="4"/>
  <c r="BO164" i="4"/>
  <c r="BO163" i="4"/>
  <c r="BO162" i="4"/>
  <c r="BO161" i="4"/>
  <c r="BO160" i="4"/>
  <c r="BO159" i="4"/>
  <c r="BO155" i="4"/>
  <c r="BO154" i="4"/>
  <c r="BO153" i="4"/>
  <c r="BO152" i="4"/>
  <c r="BO151" i="4"/>
  <c r="BO145" i="4"/>
  <c r="BO139" i="4"/>
  <c r="BO45" i="4"/>
  <c r="BO44" i="4"/>
  <c r="BO43" i="4"/>
  <c r="BO42" i="4"/>
  <c r="BO41" i="4"/>
  <c r="BO40" i="4"/>
  <c r="BO39" i="4"/>
  <c r="BO38" i="4"/>
  <c r="BO35" i="4"/>
  <c r="BO34" i="4"/>
  <c r="BO33" i="4"/>
  <c r="BO32" i="4"/>
  <c r="BO31" i="4"/>
  <c r="BO30" i="4"/>
  <c r="BO29" i="4"/>
  <c r="BO28" i="4"/>
  <c r="BO23" i="4"/>
  <c r="BO22" i="4"/>
  <c r="BO21" i="4"/>
  <c r="BO20" i="4"/>
  <c r="BO19" i="4"/>
  <c r="BO18" i="4"/>
  <c r="BO17" i="4"/>
  <c r="BO16" i="4"/>
  <c r="BO13" i="4"/>
  <c r="BO12" i="4"/>
  <c r="BO11" i="4"/>
  <c r="BO10" i="4"/>
  <c r="BO9" i="4"/>
  <c r="BO8" i="4"/>
  <c r="BM167" i="4"/>
  <c r="BM166" i="4"/>
  <c r="BM165" i="4"/>
  <c r="BM164" i="4"/>
  <c r="BM163" i="4"/>
  <c r="BM162" i="4"/>
  <c r="BM161" i="4"/>
  <c r="BM160" i="4"/>
  <c r="BM159" i="4"/>
  <c r="BM145" i="4"/>
  <c r="BM123" i="4"/>
  <c r="BM45" i="4"/>
  <c r="BM44" i="4"/>
  <c r="BM43" i="4"/>
  <c r="BM42" i="4"/>
  <c r="BM41" i="4"/>
  <c r="BM40" i="4"/>
  <c r="BM39" i="4"/>
  <c r="BM38" i="4"/>
  <c r="BM35" i="4"/>
  <c r="BM34" i="4"/>
  <c r="BM33" i="4"/>
  <c r="BM32" i="4"/>
  <c r="BM31" i="4"/>
  <c r="BM30" i="4"/>
  <c r="BM29" i="4"/>
  <c r="BM28" i="4"/>
  <c r="BM23" i="4"/>
  <c r="BM22" i="4"/>
  <c r="BM21" i="4"/>
  <c r="BM20" i="4"/>
  <c r="BM19" i="4"/>
  <c r="BM18" i="4"/>
  <c r="BM17" i="4"/>
  <c r="BM16" i="4"/>
  <c r="BM13" i="4"/>
  <c r="BM12" i="4"/>
  <c r="BM11" i="4"/>
  <c r="BM10" i="4"/>
  <c r="BM9" i="4"/>
  <c r="BM8" i="4"/>
  <c r="BK23" i="4"/>
  <c r="BG24" i="4"/>
  <c r="BG23" i="4"/>
  <c r="BC125" i="4"/>
  <c r="BC122" i="4"/>
  <c r="BC80" i="4"/>
  <c r="AY122" i="4"/>
  <c r="AY150" i="4"/>
  <c r="AX140" i="4"/>
  <c r="AZ140" i="4" s="1"/>
  <c r="AX137" i="4"/>
  <c r="AZ137" i="4" s="1"/>
  <c r="AY131" i="4"/>
  <c r="AZ131" i="4"/>
  <c r="AY120" i="4"/>
  <c r="AX109" i="4"/>
  <c r="AZ109" i="4" s="1"/>
  <c r="AY106" i="4"/>
  <c r="AY105" i="4"/>
  <c r="AX101" i="4"/>
  <c r="AZ101" i="4" s="1"/>
  <c r="AY98" i="4"/>
  <c r="AX95" i="4"/>
  <c r="AZ95" i="4" s="1"/>
  <c r="AZ167" i="4"/>
  <c r="AY166" i="4"/>
  <c r="AY165" i="4"/>
  <c r="AX165" i="4"/>
  <c r="AZ163" i="4"/>
  <c r="AY163" i="4"/>
  <c r="AX163" i="4"/>
  <c r="AY162" i="4"/>
  <c r="AX162" i="4"/>
  <c r="AY161" i="4"/>
  <c r="AX161" i="4"/>
  <c r="AY160" i="4"/>
  <c r="AX160" i="4"/>
  <c r="AY156" i="4"/>
  <c r="AX156" i="4"/>
  <c r="AY155" i="4"/>
  <c r="AX155" i="4"/>
  <c r="AY154" i="4"/>
  <c r="AX154" i="4"/>
  <c r="AZ153" i="4"/>
  <c r="AY153" i="4"/>
  <c r="AX153" i="4"/>
  <c r="AY152" i="4"/>
  <c r="AX152" i="4"/>
  <c r="AY151" i="4"/>
  <c r="AX151" i="4"/>
  <c r="AX150" i="4"/>
  <c r="AZ150" i="4" s="1"/>
  <c r="AY149" i="4"/>
  <c r="AX149" i="4"/>
  <c r="AY148" i="4"/>
  <c r="AX148" i="4"/>
  <c r="AZ147" i="4"/>
  <c r="AY147" i="4"/>
  <c r="AX147" i="4"/>
  <c r="AY146" i="4"/>
  <c r="AX146" i="4"/>
  <c r="AY145" i="4"/>
  <c r="AX145" i="4"/>
  <c r="AY143" i="4"/>
  <c r="AX143" i="4"/>
  <c r="AY142" i="4"/>
  <c r="AX142" i="4"/>
  <c r="AZ141" i="4"/>
  <c r="AY141" i="4"/>
  <c r="AX141" i="4"/>
  <c r="AY140" i="4"/>
  <c r="AZ139" i="4"/>
  <c r="AY139" i="4"/>
  <c r="AX139" i="4"/>
  <c r="AY138" i="4"/>
  <c r="AX138" i="4"/>
  <c r="AY137" i="4"/>
  <c r="AY136" i="4"/>
  <c r="AX136" i="4"/>
  <c r="AY135" i="4"/>
  <c r="AX135" i="4"/>
  <c r="AY134" i="4"/>
  <c r="AX134" i="4"/>
  <c r="AZ133" i="4"/>
  <c r="AY133" i="4"/>
  <c r="AX133" i="4"/>
  <c r="AY132" i="4"/>
  <c r="AX132" i="4"/>
  <c r="AX131" i="4"/>
  <c r="AY130" i="4"/>
  <c r="AX130" i="4"/>
  <c r="AY129" i="4"/>
  <c r="AX129" i="4"/>
  <c r="AY128" i="4"/>
  <c r="AX128" i="4"/>
  <c r="AZ127" i="4"/>
  <c r="AY126" i="4"/>
  <c r="AX126" i="4"/>
  <c r="AY123" i="4"/>
  <c r="AX123" i="4"/>
  <c r="AX122" i="4" s="1"/>
  <c r="AX120" i="4"/>
  <c r="AZ120" i="4" s="1"/>
  <c r="AY119" i="4"/>
  <c r="AX119" i="4"/>
  <c r="AY118" i="4"/>
  <c r="AX118" i="4"/>
  <c r="AZ117" i="4"/>
  <c r="AY117" i="4"/>
  <c r="AX117" i="4"/>
  <c r="AY116" i="4"/>
  <c r="AX116" i="4"/>
  <c r="AY115" i="4"/>
  <c r="AX115" i="4"/>
  <c r="AY114" i="4"/>
  <c r="AX114" i="4"/>
  <c r="AZ113" i="4"/>
  <c r="AY113" i="4"/>
  <c r="AX113" i="4"/>
  <c r="AY112" i="4"/>
  <c r="AX112" i="4"/>
  <c r="AY111" i="4"/>
  <c r="AX111" i="4"/>
  <c r="AY110" i="4"/>
  <c r="AX110" i="4"/>
  <c r="AY109" i="4"/>
  <c r="AZ107" i="4"/>
  <c r="AX106" i="4"/>
  <c r="AZ106" i="4" s="1"/>
  <c r="AX105" i="4"/>
  <c r="AZ105" i="4" s="1"/>
  <c r="AZ103" i="4"/>
  <c r="AY103" i="4"/>
  <c r="AX103" i="4"/>
  <c r="AY102" i="4"/>
  <c r="AX102" i="4"/>
  <c r="AY101" i="4"/>
  <c r="AZ99" i="4"/>
  <c r="AY99" i="4"/>
  <c r="AX99" i="4"/>
  <c r="AX98" i="4"/>
  <c r="AZ98" i="4" s="1"/>
  <c r="AZ97" i="4"/>
  <c r="AY97" i="4"/>
  <c r="AX97" i="4"/>
  <c r="AY96" i="4"/>
  <c r="AX96" i="4"/>
  <c r="AY95" i="4"/>
  <c r="AY94" i="4"/>
  <c r="AX94" i="4"/>
  <c r="AY93" i="4"/>
  <c r="AX93" i="4"/>
  <c r="AY92" i="4"/>
  <c r="AX92" i="4"/>
  <c r="AY91" i="4"/>
  <c r="AX91" i="4"/>
  <c r="AY90" i="4"/>
  <c r="AX90" i="4"/>
  <c r="AY89" i="4"/>
  <c r="AX89" i="4"/>
  <c r="AY88" i="4"/>
  <c r="AX88" i="4"/>
  <c r="AY87" i="4"/>
  <c r="AX87" i="4"/>
  <c r="AY86" i="4"/>
  <c r="AX86" i="4"/>
  <c r="AY85" i="4"/>
  <c r="AX85" i="4"/>
  <c r="AY84" i="4"/>
  <c r="AX84" i="4"/>
  <c r="AY83" i="4"/>
  <c r="AX83" i="4"/>
  <c r="AY82" i="4"/>
  <c r="AX82" i="4"/>
  <c r="AY81" i="4"/>
  <c r="AX81" i="4"/>
  <c r="AY78" i="4"/>
  <c r="AX78" i="4"/>
  <c r="AY77" i="4"/>
  <c r="AX77" i="4"/>
  <c r="AY76" i="4"/>
  <c r="AX76" i="4"/>
  <c r="AY75" i="4"/>
  <c r="AX75" i="4"/>
  <c r="AY74" i="4"/>
  <c r="AX74" i="4"/>
  <c r="AY73" i="4"/>
  <c r="AX73" i="4"/>
  <c r="AY72" i="4"/>
  <c r="AX72" i="4"/>
  <c r="AY71" i="4"/>
  <c r="AX71" i="4"/>
  <c r="AY70" i="4"/>
  <c r="AX70" i="4"/>
  <c r="AY69" i="4"/>
  <c r="AX69" i="4"/>
  <c r="AY68" i="4"/>
  <c r="AX68" i="4"/>
  <c r="AY67" i="4"/>
  <c r="AX67" i="4"/>
  <c r="AY66" i="4"/>
  <c r="AX66" i="4"/>
  <c r="AY65" i="4"/>
  <c r="AX65" i="4"/>
  <c r="AY64" i="4"/>
  <c r="AX64" i="4"/>
  <c r="AY63" i="4"/>
  <c r="AY59" i="4" s="1"/>
  <c r="AX63" i="4"/>
  <c r="AY62" i="4"/>
  <c r="AX62" i="4"/>
  <c r="AY61" i="4"/>
  <c r="AX61" i="4"/>
  <c r="AY60" i="4"/>
  <c r="AX60" i="4"/>
  <c r="AX59" i="4" s="1"/>
  <c r="AY57" i="4"/>
  <c r="AX57" i="4"/>
  <c r="AY56" i="4"/>
  <c r="AX56" i="4"/>
  <c r="AY55" i="4"/>
  <c r="AX55" i="4"/>
  <c r="AY54" i="4"/>
  <c r="AX54" i="4"/>
  <c r="AY53" i="4"/>
  <c r="AX53" i="4"/>
  <c r="AX52" i="4"/>
  <c r="AY51" i="4"/>
  <c r="AX51" i="4"/>
  <c r="AY50" i="4"/>
  <c r="AX50" i="4"/>
  <c r="AY49" i="4"/>
  <c r="AX49" i="4"/>
  <c r="AY48" i="4"/>
  <c r="AX48" i="4"/>
  <c r="AX47" i="4" s="1"/>
  <c r="AY45" i="4"/>
  <c r="AX45" i="4"/>
  <c r="AY44" i="4"/>
  <c r="AX44" i="4"/>
  <c r="AY43" i="4"/>
  <c r="AX43" i="4"/>
  <c r="AY42" i="4"/>
  <c r="AX42" i="4"/>
  <c r="AY41" i="4"/>
  <c r="AX41" i="4"/>
  <c r="AY40" i="4"/>
  <c r="AX40" i="4"/>
  <c r="AY39" i="4"/>
  <c r="AY37" i="4" s="1"/>
  <c r="AX39" i="4"/>
  <c r="AY38" i="4"/>
  <c r="AX38" i="4"/>
  <c r="AX37" i="4" s="1"/>
  <c r="AY35" i="4"/>
  <c r="AX35" i="4"/>
  <c r="AY34" i="4"/>
  <c r="AX34" i="4"/>
  <c r="AY33" i="4"/>
  <c r="AX33" i="4"/>
  <c r="AY32" i="4"/>
  <c r="AX32" i="4"/>
  <c r="AY31" i="4"/>
  <c r="AX31" i="4"/>
  <c r="AY30" i="4"/>
  <c r="AX30" i="4"/>
  <c r="AY29" i="4"/>
  <c r="AX29" i="4"/>
  <c r="AY28" i="4"/>
  <c r="AY27" i="4" s="1"/>
  <c r="AX28" i="4"/>
  <c r="AX27" i="4" s="1"/>
  <c r="AZ24" i="4"/>
  <c r="AY24" i="4"/>
  <c r="AX24" i="4"/>
  <c r="AY23" i="4"/>
  <c r="AX23" i="4"/>
  <c r="AY22" i="4"/>
  <c r="AX22" i="4"/>
  <c r="AY21" i="4"/>
  <c r="AX21" i="4"/>
  <c r="AZ20" i="4"/>
  <c r="AY20" i="4"/>
  <c r="AX20" i="4"/>
  <c r="AY19" i="4"/>
  <c r="AX19" i="4"/>
  <c r="AY18" i="4"/>
  <c r="AX18" i="4"/>
  <c r="AY17" i="4"/>
  <c r="AX17" i="4"/>
  <c r="AZ16" i="4"/>
  <c r="AY16" i="4"/>
  <c r="AX16" i="4"/>
  <c r="AY15" i="4"/>
  <c r="AX15" i="4"/>
  <c r="AY14" i="4"/>
  <c r="AX14" i="4"/>
  <c r="AY13" i="4"/>
  <c r="AX13" i="4"/>
  <c r="AZ12" i="4"/>
  <c r="AY12" i="4"/>
  <c r="AX12" i="4"/>
  <c r="AY11" i="4"/>
  <c r="AX11" i="4"/>
  <c r="AY10" i="4"/>
  <c r="AX10" i="4"/>
  <c r="AY9" i="4"/>
  <c r="AX9" i="4"/>
  <c r="AW9" i="4"/>
  <c r="AZ9" i="4" s="1"/>
  <c r="AW10" i="4"/>
  <c r="AZ10" i="4" s="1"/>
  <c r="AW11" i="4"/>
  <c r="AZ11" i="4" s="1"/>
  <c r="AW12" i="4"/>
  <c r="AW13" i="4"/>
  <c r="AZ13" i="4" s="1"/>
  <c r="AW14" i="4"/>
  <c r="AZ14" i="4" s="1"/>
  <c r="AW15" i="4"/>
  <c r="AZ15" i="4" s="1"/>
  <c r="AW16" i="4"/>
  <c r="AW17" i="4"/>
  <c r="AZ17" i="4" s="1"/>
  <c r="AW18" i="4"/>
  <c r="AZ18" i="4" s="1"/>
  <c r="AW19" i="4"/>
  <c r="AZ19" i="4" s="1"/>
  <c r="AW20" i="4"/>
  <c r="AW21" i="4"/>
  <c r="AZ21" i="4" s="1"/>
  <c r="AW22" i="4"/>
  <c r="AZ22" i="4" s="1"/>
  <c r="AW23" i="4"/>
  <c r="AZ23" i="4" s="1"/>
  <c r="AW24" i="4"/>
  <c r="AW25" i="4"/>
  <c r="AY8" i="4"/>
  <c r="AX8" i="4"/>
  <c r="AR167" i="4"/>
  <c r="AQ167" i="4"/>
  <c r="AR166" i="4"/>
  <c r="AQ166" i="4"/>
  <c r="AR165" i="4"/>
  <c r="AQ165" i="4"/>
  <c r="AR164" i="4"/>
  <c r="AQ164" i="4"/>
  <c r="AR163" i="4"/>
  <c r="AQ163" i="4"/>
  <c r="AR162" i="4"/>
  <c r="AQ162" i="4"/>
  <c r="AR161" i="4"/>
  <c r="AQ161" i="4"/>
  <c r="AR160" i="4"/>
  <c r="AQ160" i="4"/>
  <c r="AR159" i="4"/>
  <c r="AQ159" i="4"/>
  <c r="AR156" i="4"/>
  <c r="AQ156" i="4"/>
  <c r="AR155" i="4"/>
  <c r="AQ155" i="4"/>
  <c r="AR154" i="4"/>
  <c r="AQ154" i="4"/>
  <c r="AR153" i="4"/>
  <c r="AQ153" i="4"/>
  <c r="AR152" i="4"/>
  <c r="AQ152" i="4"/>
  <c r="AR151" i="4"/>
  <c r="AQ151" i="4"/>
  <c r="AR150" i="4"/>
  <c r="AQ150" i="4"/>
  <c r="AR149" i="4"/>
  <c r="AQ149" i="4"/>
  <c r="AR148" i="4"/>
  <c r="AQ148" i="4"/>
  <c r="AR147" i="4"/>
  <c r="AQ147" i="4"/>
  <c r="AR146" i="4"/>
  <c r="AQ146" i="4"/>
  <c r="AR145" i="4"/>
  <c r="AQ145" i="4"/>
  <c r="AR144" i="4"/>
  <c r="AQ144" i="4"/>
  <c r="AR143" i="4"/>
  <c r="AQ143" i="4"/>
  <c r="AR142" i="4"/>
  <c r="AQ142" i="4"/>
  <c r="AR141" i="4"/>
  <c r="AQ141" i="4"/>
  <c r="AR140" i="4"/>
  <c r="AQ140" i="4"/>
  <c r="AR139" i="4"/>
  <c r="AQ139" i="4"/>
  <c r="AR138" i="4"/>
  <c r="AQ138" i="4"/>
  <c r="AR137" i="4"/>
  <c r="AQ137" i="4"/>
  <c r="AR136" i="4"/>
  <c r="AQ136" i="4"/>
  <c r="AR135" i="4"/>
  <c r="AQ135" i="4"/>
  <c r="AR134" i="4"/>
  <c r="AQ134" i="4"/>
  <c r="AR133" i="4"/>
  <c r="AQ133" i="4"/>
  <c r="AR132" i="4"/>
  <c r="AQ132" i="4"/>
  <c r="AR131" i="4"/>
  <c r="AQ131" i="4"/>
  <c r="AR130" i="4"/>
  <c r="AQ130" i="4"/>
  <c r="AR129" i="4"/>
  <c r="AQ129" i="4"/>
  <c r="AR128" i="4"/>
  <c r="AQ128" i="4"/>
  <c r="AR127" i="4"/>
  <c r="AQ127" i="4"/>
  <c r="AR126" i="4"/>
  <c r="AQ126" i="4"/>
  <c r="AR123" i="4"/>
  <c r="AQ123" i="4"/>
  <c r="AR120" i="4"/>
  <c r="AQ120" i="4"/>
  <c r="AR119" i="4"/>
  <c r="AQ119" i="4"/>
  <c r="AR118" i="4"/>
  <c r="AQ118" i="4"/>
  <c r="AR117" i="4"/>
  <c r="AQ117" i="4"/>
  <c r="AR116" i="4"/>
  <c r="AQ116" i="4"/>
  <c r="AR115" i="4"/>
  <c r="AQ115" i="4"/>
  <c r="AR114" i="4"/>
  <c r="AQ114" i="4"/>
  <c r="AR113" i="4"/>
  <c r="AQ113" i="4"/>
  <c r="AR112" i="4"/>
  <c r="AQ112" i="4"/>
  <c r="AR111" i="4"/>
  <c r="AQ111" i="4"/>
  <c r="AR110" i="4"/>
  <c r="AQ110" i="4"/>
  <c r="AR109" i="4"/>
  <c r="AQ109" i="4"/>
  <c r="AR108" i="4"/>
  <c r="AQ108" i="4"/>
  <c r="AR107" i="4"/>
  <c r="AQ107" i="4"/>
  <c r="AR106" i="4"/>
  <c r="AQ106" i="4"/>
  <c r="AR105" i="4"/>
  <c r="AQ105" i="4"/>
  <c r="AR104" i="4"/>
  <c r="AQ104" i="4"/>
  <c r="AR103" i="4"/>
  <c r="AQ103" i="4"/>
  <c r="AR102" i="4"/>
  <c r="AQ102" i="4"/>
  <c r="AR101" i="4"/>
  <c r="AQ101" i="4"/>
  <c r="AR100" i="4"/>
  <c r="AQ100" i="4"/>
  <c r="AR99" i="4"/>
  <c r="AQ99" i="4"/>
  <c r="AR98" i="4"/>
  <c r="AQ98" i="4"/>
  <c r="AR97" i="4"/>
  <c r="AQ97" i="4"/>
  <c r="AR96" i="4"/>
  <c r="AQ96" i="4"/>
  <c r="AR95" i="4"/>
  <c r="AQ95" i="4"/>
  <c r="AR94" i="4"/>
  <c r="AQ94" i="4"/>
  <c r="AR93" i="4"/>
  <c r="AQ93" i="4"/>
  <c r="AR92" i="4"/>
  <c r="AQ92" i="4"/>
  <c r="AR91" i="4"/>
  <c r="AQ91" i="4"/>
  <c r="AR90" i="4"/>
  <c r="AQ90" i="4"/>
  <c r="AR89" i="4"/>
  <c r="AQ89" i="4"/>
  <c r="AR88" i="4"/>
  <c r="AQ88" i="4"/>
  <c r="AR87" i="4"/>
  <c r="AQ87" i="4"/>
  <c r="AR86" i="4"/>
  <c r="AQ86" i="4"/>
  <c r="AR85" i="4"/>
  <c r="AQ85" i="4"/>
  <c r="AR84" i="4"/>
  <c r="AQ84" i="4"/>
  <c r="AR83" i="4"/>
  <c r="AQ83" i="4"/>
  <c r="AR82" i="4"/>
  <c r="AQ82" i="4"/>
  <c r="AR81" i="4"/>
  <c r="AQ81" i="4"/>
  <c r="AR78" i="4"/>
  <c r="AQ78" i="4"/>
  <c r="AR77" i="4"/>
  <c r="AQ77" i="4"/>
  <c r="AR76" i="4"/>
  <c r="AQ76" i="4"/>
  <c r="AR75" i="4"/>
  <c r="AQ75" i="4"/>
  <c r="AR74" i="4"/>
  <c r="AQ74" i="4"/>
  <c r="AR73" i="4"/>
  <c r="AQ73" i="4"/>
  <c r="AR72" i="4"/>
  <c r="AQ72" i="4"/>
  <c r="AR71" i="4"/>
  <c r="AQ71" i="4"/>
  <c r="AR70" i="4"/>
  <c r="AQ70" i="4"/>
  <c r="AR69" i="4"/>
  <c r="AQ69" i="4"/>
  <c r="AR68" i="4"/>
  <c r="AQ68" i="4"/>
  <c r="AR67" i="4"/>
  <c r="AQ67" i="4"/>
  <c r="AR66" i="4"/>
  <c r="AQ66" i="4"/>
  <c r="AR65" i="4"/>
  <c r="AQ65" i="4"/>
  <c r="AR64" i="4"/>
  <c r="AQ64" i="4"/>
  <c r="AR63" i="4"/>
  <c r="AQ63" i="4"/>
  <c r="AR62" i="4"/>
  <c r="AQ62" i="4"/>
  <c r="AR61" i="4"/>
  <c r="AQ61" i="4"/>
  <c r="AR60" i="4"/>
  <c r="AQ60" i="4"/>
  <c r="AS57" i="4"/>
  <c r="AR57" i="4"/>
  <c r="AQ57" i="4"/>
  <c r="AR56" i="4"/>
  <c r="AQ56" i="4"/>
  <c r="AR55" i="4"/>
  <c r="AQ55" i="4"/>
  <c r="AR54" i="4"/>
  <c r="AQ54" i="4"/>
  <c r="AS53" i="4"/>
  <c r="AR53" i="4"/>
  <c r="AQ53" i="4"/>
  <c r="AR52" i="4"/>
  <c r="AQ52" i="4"/>
  <c r="AR51" i="4"/>
  <c r="AQ51" i="4"/>
  <c r="AR50" i="4"/>
  <c r="AQ50" i="4"/>
  <c r="AS49" i="4"/>
  <c r="AR49" i="4"/>
  <c r="AQ49" i="4"/>
  <c r="AR48" i="4"/>
  <c r="AQ48" i="4"/>
  <c r="AR45" i="4"/>
  <c r="AQ45" i="4"/>
  <c r="AR44" i="4"/>
  <c r="AQ44" i="4"/>
  <c r="AS43" i="4"/>
  <c r="AR43" i="4"/>
  <c r="AQ43" i="4"/>
  <c r="AR42" i="4"/>
  <c r="AQ42" i="4"/>
  <c r="AR41" i="4"/>
  <c r="AQ41" i="4"/>
  <c r="AR40" i="4"/>
  <c r="AQ40" i="4"/>
  <c r="AS39" i="4"/>
  <c r="AR39" i="4"/>
  <c r="AQ39" i="4"/>
  <c r="AR38" i="4"/>
  <c r="AQ38" i="4"/>
  <c r="AS37" i="4"/>
  <c r="AR37" i="4"/>
  <c r="AQ37" i="4"/>
  <c r="AS36" i="4"/>
  <c r="AR36" i="4"/>
  <c r="AQ36" i="4"/>
  <c r="AS35" i="4"/>
  <c r="AR35" i="4"/>
  <c r="AQ35" i="4"/>
  <c r="AR34" i="4"/>
  <c r="AQ34" i="4"/>
  <c r="AR33" i="4"/>
  <c r="AQ33" i="4"/>
  <c r="AR32" i="4"/>
  <c r="AQ32" i="4"/>
  <c r="AS31" i="4"/>
  <c r="AR31" i="4"/>
  <c r="AQ31" i="4"/>
  <c r="AR30" i="4"/>
  <c r="AQ30" i="4"/>
  <c r="AR29" i="4"/>
  <c r="AQ29" i="4"/>
  <c r="AR28" i="4"/>
  <c r="AQ28" i="4"/>
  <c r="AS25" i="4"/>
  <c r="AR25" i="4"/>
  <c r="AQ25" i="4"/>
  <c r="AR24" i="4"/>
  <c r="AQ24" i="4"/>
  <c r="AR23" i="4"/>
  <c r="AQ23" i="4"/>
  <c r="AR22" i="4"/>
  <c r="AQ22" i="4"/>
  <c r="AR21" i="4"/>
  <c r="AQ21" i="4"/>
  <c r="AR20" i="4"/>
  <c r="AQ20" i="4"/>
  <c r="AR19" i="4"/>
  <c r="AQ19" i="4"/>
  <c r="AR18" i="4"/>
  <c r="AQ18" i="4"/>
  <c r="AR17" i="4"/>
  <c r="AQ17" i="4"/>
  <c r="AR16" i="4"/>
  <c r="AQ16" i="4"/>
  <c r="AR15" i="4"/>
  <c r="AQ15" i="4"/>
  <c r="AR14" i="4"/>
  <c r="AQ14" i="4"/>
  <c r="AS12" i="4"/>
  <c r="AR12" i="4"/>
  <c r="AQ12" i="4"/>
  <c r="AR11" i="4"/>
  <c r="AQ11" i="4"/>
  <c r="AR10" i="4"/>
  <c r="AQ10" i="4"/>
  <c r="AR9" i="4"/>
  <c r="AQ9" i="4"/>
  <c r="AR8" i="4"/>
  <c r="AQ8" i="4"/>
  <c r="AQ13" i="4"/>
  <c r="AR13" i="4"/>
  <c r="AS13" i="4"/>
  <c r="AW167" i="4"/>
  <c r="AS167" i="4" s="1"/>
  <c r="AW166" i="4"/>
  <c r="AS166" i="4" s="1"/>
  <c r="AW165" i="4"/>
  <c r="AS165" i="4" s="1"/>
  <c r="AW164" i="4"/>
  <c r="AS164" i="4" s="1"/>
  <c r="AW163" i="4"/>
  <c r="AS163" i="4" s="1"/>
  <c r="AW162" i="4"/>
  <c r="AS162" i="4" s="1"/>
  <c r="AW161" i="4"/>
  <c r="AS161" i="4" s="1"/>
  <c r="AW160" i="4"/>
  <c r="AS160" i="4" s="1"/>
  <c r="AW159" i="4"/>
  <c r="AS159" i="4" s="1"/>
  <c r="AW156" i="4"/>
  <c r="AS156" i="4" s="1"/>
  <c r="AW155" i="4"/>
  <c r="AS155" i="4" s="1"/>
  <c r="AW154" i="4"/>
  <c r="AS154" i="4" s="1"/>
  <c r="AW153" i="4"/>
  <c r="AS153" i="4" s="1"/>
  <c r="AW152" i="4"/>
  <c r="AS152" i="4" s="1"/>
  <c r="AW151" i="4"/>
  <c r="AS151" i="4" s="1"/>
  <c r="AW150" i="4"/>
  <c r="AS150" i="4" s="1"/>
  <c r="AW149" i="4"/>
  <c r="AS149" i="4" s="1"/>
  <c r="AW148" i="4"/>
  <c r="AS148" i="4" s="1"/>
  <c r="AW147" i="4"/>
  <c r="AS147" i="4" s="1"/>
  <c r="AW146" i="4"/>
  <c r="AS146" i="4" s="1"/>
  <c r="AW145" i="4"/>
  <c r="AS145" i="4" s="1"/>
  <c r="AW144" i="4"/>
  <c r="AS144" i="4" s="1"/>
  <c r="AW143" i="4"/>
  <c r="AS143" i="4" s="1"/>
  <c r="AW142" i="4"/>
  <c r="AS142" i="4" s="1"/>
  <c r="AW141" i="4"/>
  <c r="AS141" i="4" s="1"/>
  <c r="AW140" i="4"/>
  <c r="AS140" i="4" s="1"/>
  <c r="AW139" i="4"/>
  <c r="AS139" i="4" s="1"/>
  <c r="AW138" i="4"/>
  <c r="AS138" i="4" s="1"/>
  <c r="AW137" i="4"/>
  <c r="AS137" i="4" s="1"/>
  <c r="AW136" i="4"/>
  <c r="AS136" i="4" s="1"/>
  <c r="AW135" i="4"/>
  <c r="AS135" i="4" s="1"/>
  <c r="AW134" i="4"/>
  <c r="AS134" i="4" s="1"/>
  <c r="AW133" i="4"/>
  <c r="AS133" i="4" s="1"/>
  <c r="AW132" i="4"/>
  <c r="AS132" i="4" s="1"/>
  <c r="AW131" i="4"/>
  <c r="AS131" i="4" s="1"/>
  <c r="AW130" i="4"/>
  <c r="AS130" i="4" s="1"/>
  <c r="AW129" i="4"/>
  <c r="AS129" i="4" s="1"/>
  <c r="AW128" i="4"/>
  <c r="AS128" i="4" s="1"/>
  <c r="AW127" i="4"/>
  <c r="AS127" i="4" s="1"/>
  <c r="AW126" i="4"/>
  <c r="AS126" i="4" s="1"/>
  <c r="AW123" i="4"/>
  <c r="AZ123" i="4" s="1"/>
  <c r="AZ122" i="4" s="1"/>
  <c r="AW120" i="4"/>
  <c r="AS120" i="4" s="1"/>
  <c r="AW119" i="4"/>
  <c r="AS119" i="4" s="1"/>
  <c r="AW118" i="4"/>
  <c r="AS118" i="4" s="1"/>
  <c r="AW117" i="4"/>
  <c r="AS117" i="4" s="1"/>
  <c r="AW116" i="4"/>
  <c r="AS116" i="4" s="1"/>
  <c r="AW115" i="4"/>
  <c r="AS115" i="4" s="1"/>
  <c r="AW114" i="4"/>
  <c r="AS114" i="4" s="1"/>
  <c r="AW113" i="4"/>
  <c r="AS113" i="4" s="1"/>
  <c r="AW112" i="4"/>
  <c r="AS112" i="4" s="1"/>
  <c r="AW111" i="4"/>
  <c r="AS111" i="4" s="1"/>
  <c r="AW110" i="4"/>
  <c r="AS110" i="4" s="1"/>
  <c r="AW109" i="4"/>
  <c r="AS109" i="4" s="1"/>
  <c r="AW108" i="4"/>
  <c r="AS108" i="4" s="1"/>
  <c r="AW107" i="4"/>
  <c r="AS107" i="4" s="1"/>
  <c r="AW106" i="4"/>
  <c r="AS106" i="4" s="1"/>
  <c r="AW105" i="4"/>
  <c r="AS105" i="4" s="1"/>
  <c r="AW104" i="4"/>
  <c r="AS104" i="4" s="1"/>
  <c r="AW103" i="4"/>
  <c r="AS103" i="4" s="1"/>
  <c r="AW102" i="4"/>
  <c r="AS102" i="4" s="1"/>
  <c r="AW101" i="4"/>
  <c r="AS101" i="4" s="1"/>
  <c r="AW100" i="4"/>
  <c r="AS100" i="4" s="1"/>
  <c r="AW99" i="4"/>
  <c r="AS99" i="4" s="1"/>
  <c r="AW98" i="4"/>
  <c r="AS98" i="4" s="1"/>
  <c r="AW97" i="4"/>
  <c r="AS97" i="4" s="1"/>
  <c r="AW96" i="4"/>
  <c r="AS96" i="4" s="1"/>
  <c r="AW95" i="4"/>
  <c r="AS95" i="4" s="1"/>
  <c r="AW94" i="4"/>
  <c r="AS94" i="4" s="1"/>
  <c r="AW93" i="4"/>
  <c r="AS93" i="4" s="1"/>
  <c r="AW92" i="4"/>
  <c r="AS92" i="4" s="1"/>
  <c r="AW91" i="4"/>
  <c r="AS91" i="4" s="1"/>
  <c r="AW90" i="4"/>
  <c r="AS90" i="4" s="1"/>
  <c r="AW89" i="4"/>
  <c r="AS89" i="4" s="1"/>
  <c r="AW88" i="4"/>
  <c r="AS88" i="4" s="1"/>
  <c r="AW87" i="4"/>
  <c r="AS87" i="4" s="1"/>
  <c r="AW86" i="4"/>
  <c r="AS86" i="4" s="1"/>
  <c r="AW85" i="4"/>
  <c r="AS85" i="4" s="1"/>
  <c r="AW84" i="4"/>
  <c r="AS84" i="4" s="1"/>
  <c r="AW83" i="4"/>
  <c r="AS83" i="4" s="1"/>
  <c r="AW82" i="4"/>
  <c r="AS82" i="4" s="1"/>
  <c r="AW81" i="4"/>
  <c r="AS81" i="4" s="1"/>
  <c r="AW78" i="4"/>
  <c r="AS78" i="4" s="1"/>
  <c r="AW77" i="4"/>
  <c r="AS77" i="4" s="1"/>
  <c r="AW76" i="4"/>
  <c r="AS76" i="4" s="1"/>
  <c r="AW75" i="4"/>
  <c r="AS75" i="4" s="1"/>
  <c r="AW74" i="4"/>
  <c r="AS74" i="4" s="1"/>
  <c r="AW73" i="4"/>
  <c r="AS73" i="4" s="1"/>
  <c r="AW72" i="4"/>
  <c r="AS72" i="4" s="1"/>
  <c r="AW71" i="4"/>
  <c r="AS71" i="4" s="1"/>
  <c r="AW70" i="4"/>
  <c r="AS70" i="4" s="1"/>
  <c r="AW69" i="4"/>
  <c r="AS69" i="4" s="1"/>
  <c r="AW68" i="4"/>
  <c r="AS68" i="4" s="1"/>
  <c r="AW67" i="4"/>
  <c r="AS67" i="4" s="1"/>
  <c r="AW66" i="4"/>
  <c r="AS66" i="4" s="1"/>
  <c r="AW65" i="4"/>
  <c r="AS65" i="4" s="1"/>
  <c r="AW64" i="4"/>
  <c r="AS64" i="4" s="1"/>
  <c r="AW63" i="4"/>
  <c r="AS63" i="4" s="1"/>
  <c r="AW62" i="4"/>
  <c r="AS62" i="4" s="1"/>
  <c r="AW61" i="4"/>
  <c r="AS61" i="4" s="1"/>
  <c r="AW60" i="4"/>
  <c r="AS60" i="4" s="1"/>
  <c r="AW57" i="4"/>
  <c r="AZ57" i="4" s="1"/>
  <c r="AW56" i="4"/>
  <c r="AZ56" i="4" s="1"/>
  <c r="AW55" i="4"/>
  <c r="AZ55" i="4" s="1"/>
  <c r="AW54" i="4"/>
  <c r="AS54" i="4" s="1"/>
  <c r="AW53" i="4"/>
  <c r="AZ53" i="4" s="1"/>
  <c r="AW52" i="4"/>
  <c r="AS52" i="4" s="1"/>
  <c r="AW51" i="4"/>
  <c r="AZ51" i="4" s="1"/>
  <c r="AW50" i="4"/>
  <c r="AS50" i="4" s="1"/>
  <c r="AW49" i="4"/>
  <c r="AZ49" i="4" s="1"/>
  <c r="AW48" i="4"/>
  <c r="AZ48" i="4" s="1"/>
  <c r="AW45" i="4"/>
  <c r="AZ45" i="4" s="1"/>
  <c r="AW44" i="4"/>
  <c r="AS44" i="4" s="1"/>
  <c r="AW43" i="4"/>
  <c r="AZ43" i="4" s="1"/>
  <c r="AW42" i="4"/>
  <c r="AZ42" i="4" s="1"/>
  <c r="AW41" i="4"/>
  <c r="AZ41" i="4" s="1"/>
  <c r="AW40" i="4"/>
  <c r="AS40" i="4" s="1"/>
  <c r="AW39" i="4"/>
  <c r="AZ39" i="4" s="1"/>
  <c r="AW38" i="4"/>
  <c r="AZ38" i="4" s="1"/>
  <c r="AW35" i="4"/>
  <c r="AZ35" i="4" s="1"/>
  <c r="AW34" i="4"/>
  <c r="AS34" i="4" s="1"/>
  <c r="AW33" i="4"/>
  <c r="AS33" i="4" s="1"/>
  <c r="AW32" i="4"/>
  <c r="AS32" i="4" s="1"/>
  <c r="AW31" i="4"/>
  <c r="AZ31" i="4" s="1"/>
  <c r="AW30" i="4"/>
  <c r="AS30" i="4" s="1"/>
  <c r="AW29" i="4"/>
  <c r="AS29" i="4" s="1"/>
  <c r="AW28" i="4"/>
  <c r="AS28" i="4" s="1"/>
  <c r="AW8" i="4"/>
  <c r="AS8" i="4" s="1"/>
  <c r="BQ167" i="4"/>
  <c r="AO167" i="4"/>
  <c r="AY167" i="4" s="1"/>
  <c r="BQ166" i="4"/>
  <c r="AO166" i="4"/>
  <c r="AX166" i="4" s="1"/>
  <c r="BQ165" i="4"/>
  <c r="BQ164" i="4"/>
  <c r="AO164" i="4"/>
  <c r="AZ164" i="4" s="1"/>
  <c r="BQ163" i="4"/>
  <c r="BQ162" i="4"/>
  <c r="BQ161" i="4"/>
  <c r="BQ160" i="4"/>
  <c r="BQ159" i="4"/>
  <c r="AO159" i="4"/>
  <c r="AY159" i="4" s="1"/>
  <c r="BK158" i="4"/>
  <c r="BI158" i="4"/>
  <c r="BG158" i="4"/>
  <c r="BQ156" i="4"/>
  <c r="BQ155" i="4"/>
  <c r="BQ154" i="4"/>
  <c r="BQ153" i="4"/>
  <c r="BQ152" i="4"/>
  <c r="BQ151" i="4"/>
  <c r="BQ150" i="4"/>
  <c r="BQ149" i="4"/>
  <c r="BQ148" i="4"/>
  <c r="BQ147" i="4"/>
  <c r="BQ146" i="4"/>
  <c r="BQ145" i="4"/>
  <c r="BQ144" i="4"/>
  <c r="AO144" i="4"/>
  <c r="AX144" i="4" s="1"/>
  <c r="BQ143" i="4"/>
  <c r="BQ142" i="4"/>
  <c r="BQ141" i="4"/>
  <c r="BQ140" i="4"/>
  <c r="BQ139" i="4"/>
  <c r="BQ138" i="4"/>
  <c r="BQ137" i="4"/>
  <c r="BQ136" i="4"/>
  <c r="BQ135" i="4"/>
  <c r="BQ134" i="4"/>
  <c r="BQ133" i="4"/>
  <c r="BQ132" i="4"/>
  <c r="BQ131" i="4"/>
  <c r="BQ130" i="4"/>
  <c r="BQ129" i="4"/>
  <c r="BQ128" i="4"/>
  <c r="BQ127" i="4"/>
  <c r="AO127" i="4"/>
  <c r="AY127" i="4" s="1"/>
  <c r="BQ126" i="4"/>
  <c r="BI125" i="4"/>
  <c r="BG125" i="4"/>
  <c r="BQ123" i="4"/>
  <c r="BO122" i="4"/>
  <c r="BK122" i="4"/>
  <c r="BI122" i="4"/>
  <c r="BG122" i="4"/>
  <c r="BQ120" i="4"/>
  <c r="BQ119" i="4"/>
  <c r="BQ118" i="4"/>
  <c r="BQ117" i="4"/>
  <c r="BQ116" i="4"/>
  <c r="BQ115" i="4"/>
  <c r="BQ114" i="4"/>
  <c r="BQ113" i="4"/>
  <c r="BQ112" i="4"/>
  <c r="BQ111" i="4"/>
  <c r="BQ110" i="4"/>
  <c r="BQ109" i="4"/>
  <c r="BQ108" i="4"/>
  <c r="AO108" i="4"/>
  <c r="AZ108" i="4" s="1"/>
  <c r="BQ107" i="4"/>
  <c r="AO107" i="4"/>
  <c r="AY107" i="4" s="1"/>
  <c r="BQ106" i="4"/>
  <c r="BQ105" i="4"/>
  <c r="BQ104" i="4"/>
  <c r="AO104" i="4"/>
  <c r="AZ104" i="4" s="1"/>
  <c r="BQ103" i="4"/>
  <c r="BQ102" i="4"/>
  <c r="BQ101" i="4"/>
  <c r="BQ100" i="4"/>
  <c r="AO100" i="4"/>
  <c r="AY100" i="4" s="1"/>
  <c r="BQ99" i="4"/>
  <c r="BQ98" i="4"/>
  <c r="BQ97" i="4"/>
  <c r="BQ96" i="4"/>
  <c r="BQ95" i="4"/>
  <c r="BQ94" i="4"/>
  <c r="BQ93" i="4"/>
  <c r="BQ92" i="4"/>
  <c r="BQ91" i="4"/>
  <c r="BQ90" i="4"/>
  <c r="BQ89" i="4"/>
  <c r="BQ88" i="4"/>
  <c r="BQ87" i="4"/>
  <c r="BQ86" i="4"/>
  <c r="BQ85" i="4"/>
  <c r="BQ84" i="4"/>
  <c r="BQ83" i="4"/>
  <c r="BQ82" i="4"/>
  <c r="BQ81" i="4"/>
  <c r="BK80" i="4"/>
  <c r="BI80" i="4"/>
  <c r="BG80" i="4"/>
  <c r="BQ78" i="4"/>
  <c r="BQ77" i="4"/>
  <c r="BQ76" i="4"/>
  <c r="BQ75" i="4"/>
  <c r="BQ74" i="4"/>
  <c r="BQ73" i="4"/>
  <c r="BQ72" i="4"/>
  <c r="BQ71" i="4"/>
  <c r="BQ70" i="4"/>
  <c r="BQ69" i="4"/>
  <c r="BQ68" i="4"/>
  <c r="BQ67" i="4"/>
  <c r="BQ66" i="4"/>
  <c r="BQ65" i="4"/>
  <c r="BQ64" i="4"/>
  <c r="BQ63" i="4"/>
  <c r="BQ62" i="4"/>
  <c r="BQ61" i="4"/>
  <c r="BQ60" i="4"/>
  <c r="BK59" i="4"/>
  <c r="BI59" i="4"/>
  <c r="BG59" i="4"/>
  <c r="BQ57" i="4"/>
  <c r="BQ56" i="4"/>
  <c r="BQ55" i="4"/>
  <c r="BQ54" i="4"/>
  <c r="BQ53" i="4"/>
  <c r="BQ52" i="4"/>
  <c r="AO52" i="4"/>
  <c r="AZ52" i="4" s="1"/>
  <c r="BQ51" i="4"/>
  <c r="BQ50" i="4"/>
  <c r="BQ49" i="4"/>
  <c r="BQ48" i="4"/>
  <c r="BM47" i="4"/>
  <c r="BK47" i="4"/>
  <c r="BI47" i="4"/>
  <c r="BG47" i="4"/>
  <c r="BQ45" i="4"/>
  <c r="BQ44" i="4"/>
  <c r="BQ43" i="4"/>
  <c r="BQ42" i="4"/>
  <c r="BQ41" i="4"/>
  <c r="BQ40" i="4"/>
  <c r="BQ39" i="4"/>
  <c r="BQ38" i="4"/>
  <c r="BK37" i="4"/>
  <c r="BI37" i="4"/>
  <c r="BG37" i="4"/>
  <c r="BQ35" i="4"/>
  <c r="BQ34" i="4"/>
  <c r="BQ33" i="4"/>
  <c r="BQ32" i="4"/>
  <c r="BQ31" i="4"/>
  <c r="BQ30" i="4"/>
  <c r="BQ29" i="4"/>
  <c r="BQ28" i="4"/>
  <c r="BK27" i="4"/>
  <c r="BI27" i="4"/>
  <c r="BG27" i="4"/>
  <c r="BQ25" i="4"/>
  <c r="AO25" i="4"/>
  <c r="AZ25" i="4" s="1"/>
  <c r="BQ24" i="4"/>
  <c r="BQ23" i="4"/>
  <c r="BQ22" i="4"/>
  <c r="BQ21" i="4"/>
  <c r="BQ20" i="4"/>
  <c r="BQ19" i="4"/>
  <c r="BQ18" i="4"/>
  <c r="BQ17" i="4"/>
  <c r="BQ16" i="4"/>
  <c r="BQ15" i="4"/>
  <c r="BQ14" i="4"/>
  <c r="BQ13" i="4"/>
  <c r="BQ12" i="4"/>
  <c r="BQ11" i="4"/>
  <c r="BQ10" i="4"/>
  <c r="BQ9" i="4"/>
  <c r="BQ8" i="4"/>
  <c r="BI7" i="4"/>
  <c r="AC25" i="1" l="1"/>
  <c r="AD25" i="1" s="1"/>
  <c r="AY125" i="4"/>
  <c r="AY158" i="4"/>
  <c r="AZ30" i="4"/>
  <c r="AZ34" i="4"/>
  <c r="AZ40" i="4"/>
  <c r="AZ37" i="4" s="1"/>
  <c r="AZ44" i="4"/>
  <c r="AZ60" i="4"/>
  <c r="AZ64" i="4"/>
  <c r="AX100" i="4"/>
  <c r="AZ100" i="4" s="1"/>
  <c r="AS38" i="4"/>
  <c r="AS42" i="4"/>
  <c r="AS48" i="4"/>
  <c r="AS56" i="4"/>
  <c r="AS123" i="4"/>
  <c r="AX25" i="4"/>
  <c r="AX7" i="4" s="1"/>
  <c r="AZ29" i="4"/>
  <c r="AZ33" i="4"/>
  <c r="AY52" i="4"/>
  <c r="AY47" i="4" s="1"/>
  <c r="AZ63" i="4"/>
  <c r="AZ67" i="4"/>
  <c r="AZ71" i="4"/>
  <c r="AZ75" i="4"/>
  <c r="AZ81" i="4"/>
  <c r="AZ85" i="4"/>
  <c r="AZ89" i="4"/>
  <c r="AZ93" i="4"/>
  <c r="AZ96" i="4"/>
  <c r="AZ102" i="4"/>
  <c r="AX104" i="4"/>
  <c r="AX108" i="4"/>
  <c r="AX80" i="4" s="1"/>
  <c r="AZ112" i="4"/>
  <c r="AZ116" i="4"/>
  <c r="AZ126" i="4"/>
  <c r="AZ130" i="4"/>
  <c r="AZ132" i="4"/>
  <c r="AZ136" i="4"/>
  <c r="AZ138" i="4"/>
  <c r="AZ146" i="4"/>
  <c r="AZ152" i="4"/>
  <c r="AZ156" i="4"/>
  <c r="AZ162" i="4"/>
  <c r="AX164" i="4"/>
  <c r="AZ166" i="4"/>
  <c r="AY144" i="4"/>
  <c r="AZ144" i="4" s="1"/>
  <c r="AZ54" i="4"/>
  <c r="AZ47" i="4" s="1"/>
  <c r="AZ72" i="4"/>
  <c r="AZ76" i="4"/>
  <c r="AZ82" i="4"/>
  <c r="AZ86" i="4"/>
  <c r="AZ90" i="4"/>
  <c r="AZ94" i="4"/>
  <c r="AS17" i="4"/>
  <c r="AS41" i="4"/>
  <c r="AS45" i="4"/>
  <c r="AS51" i="4"/>
  <c r="AS55" i="4"/>
  <c r="AY25" i="4"/>
  <c r="AY7" i="4" s="1"/>
  <c r="AZ28" i="4"/>
  <c r="AZ27" i="4" s="1"/>
  <c r="AZ32" i="4"/>
  <c r="AZ62" i="4"/>
  <c r="AZ66" i="4"/>
  <c r="AZ70" i="4"/>
  <c r="AZ74" i="4"/>
  <c r="AZ78" i="4"/>
  <c r="AZ84" i="4"/>
  <c r="AZ88" i="4"/>
  <c r="AZ92" i="4"/>
  <c r="AY104" i="4"/>
  <c r="AX107" i="4"/>
  <c r="AY108" i="4"/>
  <c r="AY80" i="4" s="1"/>
  <c r="AZ111" i="4"/>
  <c r="AZ115" i="4"/>
  <c r="AZ119" i="4"/>
  <c r="AX127" i="4"/>
  <c r="AX125" i="4" s="1"/>
  <c r="AZ129" i="4"/>
  <c r="AZ135" i="4"/>
  <c r="AZ143" i="4"/>
  <c r="AZ145" i="4"/>
  <c r="AZ149" i="4"/>
  <c r="AZ151" i="4"/>
  <c r="AZ155" i="4"/>
  <c r="AX159" i="4"/>
  <c r="AX158" i="4" s="1"/>
  <c r="AZ161" i="4"/>
  <c r="AY164" i="4"/>
  <c r="AZ165" i="4"/>
  <c r="AX167" i="4"/>
  <c r="AZ50" i="4"/>
  <c r="AZ68" i="4"/>
  <c r="AZ159" i="4"/>
  <c r="AZ158" i="4" s="1"/>
  <c r="AS21" i="4"/>
  <c r="AZ61" i="4"/>
  <c r="AZ65" i="4"/>
  <c r="AZ69" i="4"/>
  <c r="AZ73" i="4"/>
  <c r="AZ77" i="4"/>
  <c r="AZ83" i="4"/>
  <c r="AZ87" i="4"/>
  <c r="AZ91" i="4"/>
  <c r="AZ110" i="4"/>
  <c r="AZ114" i="4"/>
  <c r="AZ118" i="4"/>
  <c r="AZ128" i="4"/>
  <c r="AZ125" i="4" s="1"/>
  <c r="AZ134" i="4"/>
  <c r="AZ142" i="4"/>
  <c r="AZ148" i="4"/>
  <c r="AZ154" i="4"/>
  <c r="AZ160" i="4"/>
  <c r="AS11" i="4"/>
  <c r="AS16" i="4"/>
  <c r="AS20" i="4"/>
  <c r="AS24" i="4"/>
  <c r="AS10" i="4"/>
  <c r="AS15" i="4"/>
  <c r="AS19" i="4"/>
  <c r="AS23" i="4"/>
  <c r="AS9" i="4"/>
  <c r="AS14" i="4"/>
  <c r="AS18" i="4"/>
  <c r="AS22" i="4"/>
  <c r="AZ8" i="4"/>
  <c r="AZ7" i="4" s="1"/>
  <c r="BI170" i="4"/>
  <c r="AE24" i="4"/>
  <c r="W158" i="4"/>
  <c r="W125" i="4"/>
  <c r="W122" i="4"/>
  <c r="W80" i="4"/>
  <c r="W59" i="4"/>
  <c r="W47" i="4"/>
  <c r="W37" i="4"/>
  <c r="W27" i="4"/>
  <c r="W7" i="4"/>
  <c r="AY170" i="4" l="1"/>
  <c r="AX170" i="4"/>
  <c r="AZ170" i="4" s="1"/>
  <c r="AZ80" i="4"/>
  <c r="AZ59" i="4"/>
  <c r="W170" i="4"/>
  <c r="AE167" i="4"/>
  <c r="I167" i="4"/>
  <c r="F167" i="4"/>
  <c r="L167" i="4" s="1"/>
  <c r="AE166" i="4"/>
  <c r="I166" i="4"/>
  <c r="F166" i="4"/>
  <c r="M166" i="4" s="1"/>
  <c r="AE165" i="4"/>
  <c r="M165" i="4"/>
  <c r="L165" i="4"/>
  <c r="I165" i="4"/>
  <c r="J165" i="4" s="1"/>
  <c r="AE164" i="4"/>
  <c r="I164" i="4"/>
  <c r="F164" i="4"/>
  <c r="L164" i="4" s="1"/>
  <c r="AE163" i="4"/>
  <c r="M163" i="4"/>
  <c r="L163" i="4"/>
  <c r="I163" i="4"/>
  <c r="J163" i="4" s="1"/>
  <c r="AE162" i="4"/>
  <c r="M162" i="4"/>
  <c r="L162" i="4"/>
  <c r="I162" i="4"/>
  <c r="J162" i="4" s="1"/>
  <c r="AE161" i="4"/>
  <c r="M161" i="4"/>
  <c r="L161" i="4"/>
  <c r="I161" i="4"/>
  <c r="J161" i="4" s="1"/>
  <c r="AE160" i="4"/>
  <c r="M160" i="4"/>
  <c r="L160" i="4"/>
  <c r="I160" i="4"/>
  <c r="J160" i="4" s="1"/>
  <c r="AE159" i="4"/>
  <c r="I159" i="4"/>
  <c r="F159" i="4"/>
  <c r="M159" i="4" s="1"/>
  <c r="Y158" i="4"/>
  <c r="U158" i="4"/>
  <c r="AE156" i="4"/>
  <c r="H156" i="4"/>
  <c r="M156" i="4" s="1"/>
  <c r="G156" i="4"/>
  <c r="L156" i="4" s="1"/>
  <c r="AE155" i="4"/>
  <c r="M155" i="4"/>
  <c r="G155" i="4"/>
  <c r="L155" i="4" s="1"/>
  <c r="AE154" i="4"/>
  <c r="M154" i="4"/>
  <c r="L154" i="4"/>
  <c r="I154" i="4"/>
  <c r="J154" i="4" s="1"/>
  <c r="AE153" i="4"/>
  <c r="M153" i="4"/>
  <c r="L153" i="4"/>
  <c r="I153" i="4"/>
  <c r="J153" i="4" s="1"/>
  <c r="AE152" i="4"/>
  <c r="M152" i="4"/>
  <c r="L152" i="4"/>
  <c r="I152" i="4"/>
  <c r="J152" i="4" s="1"/>
  <c r="AE151" i="4"/>
  <c r="M151" i="4"/>
  <c r="L151" i="4"/>
  <c r="I151" i="4"/>
  <c r="J151" i="4" s="1"/>
  <c r="AE150" i="4"/>
  <c r="G150" i="4"/>
  <c r="I150" i="4" s="1"/>
  <c r="F150" i="4"/>
  <c r="M150" i="4" s="1"/>
  <c r="AE149" i="4"/>
  <c r="G149" i="4"/>
  <c r="I149" i="4" s="1"/>
  <c r="F149" i="4"/>
  <c r="M149" i="4" s="1"/>
  <c r="AE148" i="4"/>
  <c r="M148" i="4"/>
  <c r="L148" i="4"/>
  <c r="I148" i="4"/>
  <c r="J148" i="4" s="1"/>
  <c r="AE147" i="4"/>
  <c r="M147" i="4"/>
  <c r="L147" i="4"/>
  <c r="I147" i="4"/>
  <c r="J147" i="4" s="1"/>
  <c r="AE146" i="4"/>
  <c r="M146" i="4"/>
  <c r="G146" i="4"/>
  <c r="I146" i="4" s="1"/>
  <c r="J146" i="4" s="1"/>
  <c r="AE145" i="4"/>
  <c r="M145" i="4"/>
  <c r="G145" i="4"/>
  <c r="L145" i="4" s="1"/>
  <c r="AE144" i="4"/>
  <c r="I144" i="4"/>
  <c r="F144" i="4"/>
  <c r="M144" i="4" s="1"/>
  <c r="AE143" i="4"/>
  <c r="M143" i="4"/>
  <c r="L143" i="4"/>
  <c r="I143" i="4"/>
  <c r="J143" i="4" s="1"/>
  <c r="AE142" i="4"/>
  <c r="M142" i="4"/>
  <c r="L142" i="4"/>
  <c r="I142" i="4"/>
  <c r="J142" i="4" s="1"/>
  <c r="AE141" i="4"/>
  <c r="M141" i="4"/>
  <c r="L141" i="4"/>
  <c r="I141" i="4"/>
  <c r="J141" i="4" s="1"/>
  <c r="AE140" i="4"/>
  <c r="M140" i="4"/>
  <c r="L140" i="4"/>
  <c r="I140" i="4"/>
  <c r="J140" i="4" s="1"/>
  <c r="AE139" i="4"/>
  <c r="M139" i="4"/>
  <c r="L139" i="4"/>
  <c r="I139" i="4"/>
  <c r="J139" i="4" s="1"/>
  <c r="AE138" i="4"/>
  <c r="M138" i="4"/>
  <c r="L138" i="4"/>
  <c r="I138" i="4"/>
  <c r="J138" i="4" s="1"/>
  <c r="AE137" i="4"/>
  <c r="M137" i="4"/>
  <c r="L137" i="4"/>
  <c r="I137" i="4"/>
  <c r="J137" i="4" s="1"/>
  <c r="AE136" i="4"/>
  <c r="M136" i="4"/>
  <c r="G136" i="4"/>
  <c r="L136" i="4" s="1"/>
  <c r="AE135" i="4"/>
  <c r="M135" i="4"/>
  <c r="G135" i="4"/>
  <c r="L135" i="4" s="1"/>
  <c r="AE134" i="4"/>
  <c r="M134" i="4"/>
  <c r="L134" i="4"/>
  <c r="I134" i="4"/>
  <c r="J134" i="4" s="1"/>
  <c r="AE133" i="4"/>
  <c r="M133" i="4"/>
  <c r="L133" i="4"/>
  <c r="I133" i="4"/>
  <c r="J133" i="4" s="1"/>
  <c r="AE132" i="4"/>
  <c r="M132" i="4"/>
  <c r="L132" i="4"/>
  <c r="I132" i="4"/>
  <c r="J132" i="4" s="1"/>
  <c r="AE131" i="4"/>
  <c r="M131" i="4"/>
  <c r="L131" i="4"/>
  <c r="I131" i="4"/>
  <c r="J131" i="4" s="1"/>
  <c r="AE130" i="4"/>
  <c r="M130" i="4"/>
  <c r="L130" i="4"/>
  <c r="I130" i="4"/>
  <c r="J130" i="4" s="1"/>
  <c r="AE129" i="4"/>
  <c r="M129" i="4"/>
  <c r="L129" i="4"/>
  <c r="I129" i="4"/>
  <c r="J129" i="4" s="1"/>
  <c r="AE128" i="4"/>
  <c r="M128" i="4"/>
  <c r="L128" i="4"/>
  <c r="I128" i="4"/>
  <c r="J128" i="4" s="1"/>
  <c r="AE127" i="4"/>
  <c r="M127" i="4"/>
  <c r="G127" i="4"/>
  <c r="I127" i="4" s="1"/>
  <c r="F127" i="4"/>
  <c r="AE126" i="4"/>
  <c r="M126" i="4"/>
  <c r="L126" i="4"/>
  <c r="I126" i="4"/>
  <c r="J126" i="4" s="1"/>
  <c r="U125" i="4"/>
  <c r="AE123" i="4"/>
  <c r="M123" i="4"/>
  <c r="G123" i="4"/>
  <c r="L123" i="4" s="1"/>
  <c r="AC122" i="4"/>
  <c r="Y122" i="4"/>
  <c r="U122" i="4"/>
  <c r="AE120" i="4"/>
  <c r="M120" i="4"/>
  <c r="L120" i="4"/>
  <c r="I120" i="4"/>
  <c r="J120" i="4" s="1"/>
  <c r="AE119" i="4"/>
  <c r="M119" i="4"/>
  <c r="L119" i="4"/>
  <c r="I119" i="4"/>
  <c r="J119" i="4" s="1"/>
  <c r="AE118" i="4"/>
  <c r="M118" i="4"/>
  <c r="L118" i="4"/>
  <c r="I118" i="4"/>
  <c r="J118" i="4" s="1"/>
  <c r="AE117" i="4"/>
  <c r="M117" i="4"/>
  <c r="L117" i="4"/>
  <c r="I117" i="4"/>
  <c r="J117" i="4" s="1"/>
  <c r="AE116" i="4"/>
  <c r="M116" i="4"/>
  <c r="L116" i="4"/>
  <c r="I116" i="4"/>
  <c r="J116" i="4" s="1"/>
  <c r="AE115" i="4"/>
  <c r="M115" i="4"/>
  <c r="L115" i="4"/>
  <c r="I115" i="4"/>
  <c r="J115" i="4" s="1"/>
  <c r="AE114" i="4"/>
  <c r="M114" i="4"/>
  <c r="L114" i="4"/>
  <c r="I114" i="4"/>
  <c r="J114" i="4" s="1"/>
  <c r="AE113" i="4"/>
  <c r="M113" i="4"/>
  <c r="L113" i="4"/>
  <c r="I113" i="4"/>
  <c r="J113" i="4" s="1"/>
  <c r="AE112" i="4"/>
  <c r="M112" i="4"/>
  <c r="L112" i="4"/>
  <c r="I112" i="4"/>
  <c r="J112" i="4" s="1"/>
  <c r="AE111" i="4"/>
  <c r="M111" i="4"/>
  <c r="L111" i="4"/>
  <c r="I111" i="4"/>
  <c r="J111" i="4" s="1"/>
  <c r="AE110" i="4"/>
  <c r="M110" i="4"/>
  <c r="L110" i="4"/>
  <c r="I110" i="4"/>
  <c r="J110" i="4" s="1"/>
  <c r="G110" i="4"/>
  <c r="AE109" i="4"/>
  <c r="M109" i="4"/>
  <c r="G109" i="4"/>
  <c r="AE108" i="4"/>
  <c r="I108" i="4"/>
  <c r="F108" i="4"/>
  <c r="M108" i="4" s="1"/>
  <c r="AE107" i="4"/>
  <c r="I107" i="4"/>
  <c r="F107" i="4"/>
  <c r="L107" i="4" s="1"/>
  <c r="AE106" i="4"/>
  <c r="M106" i="4"/>
  <c r="L106" i="4"/>
  <c r="I106" i="4"/>
  <c r="J106" i="4" s="1"/>
  <c r="AE105" i="4"/>
  <c r="M105" i="4"/>
  <c r="G105" i="4"/>
  <c r="I105" i="4" s="1"/>
  <c r="J105" i="4" s="1"/>
  <c r="AE104" i="4"/>
  <c r="G104" i="4"/>
  <c r="I104" i="4" s="1"/>
  <c r="F104" i="4"/>
  <c r="M104" i="4" s="1"/>
  <c r="AE103" i="4"/>
  <c r="M103" i="4"/>
  <c r="L103" i="4"/>
  <c r="I103" i="4"/>
  <c r="J103" i="4" s="1"/>
  <c r="AE102" i="4"/>
  <c r="M102" i="4"/>
  <c r="G102" i="4"/>
  <c r="I102" i="4" s="1"/>
  <c r="J102" i="4" s="1"/>
  <c r="AE101" i="4"/>
  <c r="M101" i="4"/>
  <c r="G101" i="4"/>
  <c r="I101" i="4" s="1"/>
  <c r="J101" i="4" s="1"/>
  <c r="AE100" i="4"/>
  <c r="G100" i="4"/>
  <c r="I100" i="4" s="1"/>
  <c r="J100" i="4" s="1"/>
  <c r="F100" i="4"/>
  <c r="AE99" i="4"/>
  <c r="M99" i="4"/>
  <c r="L99" i="4"/>
  <c r="I99" i="4"/>
  <c r="J99" i="4" s="1"/>
  <c r="AE98" i="4"/>
  <c r="M98" i="4"/>
  <c r="G98" i="4"/>
  <c r="I98" i="4" s="1"/>
  <c r="J98" i="4" s="1"/>
  <c r="AE97" i="4"/>
  <c r="M97" i="4"/>
  <c r="L97" i="4"/>
  <c r="I97" i="4"/>
  <c r="J97" i="4" s="1"/>
  <c r="AE96" i="4"/>
  <c r="M96" i="4"/>
  <c r="L96" i="4"/>
  <c r="I96" i="4"/>
  <c r="J96" i="4" s="1"/>
  <c r="AE95" i="4"/>
  <c r="M95" i="4"/>
  <c r="L95" i="4"/>
  <c r="I95" i="4"/>
  <c r="J95" i="4" s="1"/>
  <c r="AE94" i="4"/>
  <c r="M94" i="4"/>
  <c r="G94" i="4"/>
  <c r="AE93" i="4"/>
  <c r="M93" i="4"/>
  <c r="L93" i="4"/>
  <c r="I93" i="4"/>
  <c r="J93" i="4" s="1"/>
  <c r="AE92" i="4"/>
  <c r="M92" i="4"/>
  <c r="L92" i="4"/>
  <c r="I92" i="4"/>
  <c r="J92" i="4" s="1"/>
  <c r="AE91" i="4"/>
  <c r="M91" i="4"/>
  <c r="L91" i="4"/>
  <c r="I91" i="4"/>
  <c r="J91" i="4" s="1"/>
  <c r="AE90" i="4"/>
  <c r="M90" i="4"/>
  <c r="L90" i="4"/>
  <c r="I90" i="4"/>
  <c r="J90" i="4" s="1"/>
  <c r="AE89" i="4"/>
  <c r="M89" i="4"/>
  <c r="L89" i="4"/>
  <c r="I89" i="4"/>
  <c r="J89" i="4" s="1"/>
  <c r="AE88" i="4"/>
  <c r="M88" i="4"/>
  <c r="L88" i="4"/>
  <c r="I88" i="4"/>
  <c r="J88" i="4" s="1"/>
  <c r="AE87" i="4"/>
  <c r="M87" i="4"/>
  <c r="L87" i="4"/>
  <c r="I87" i="4"/>
  <c r="J87" i="4" s="1"/>
  <c r="AE86" i="4"/>
  <c r="M86" i="4"/>
  <c r="L86" i="4"/>
  <c r="I86" i="4"/>
  <c r="J86" i="4" s="1"/>
  <c r="AE85" i="4"/>
  <c r="M85" i="4"/>
  <c r="L85" i="4"/>
  <c r="I85" i="4"/>
  <c r="J85" i="4" s="1"/>
  <c r="AE84" i="4"/>
  <c r="M84" i="4"/>
  <c r="L84" i="4"/>
  <c r="I84" i="4"/>
  <c r="J84" i="4" s="1"/>
  <c r="AE83" i="4"/>
  <c r="M83" i="4"/>
  <c r="L83" i="4"/>
  <c r="I83" i="4"/>
  <c r="J83" i="4" s="1"/>
  <c r="AE82" i="4"/>
  <c r="M82" i="4"/>
  <c r="L82" i="4"/>
  <c r="I82" i="4"/>
  <c r="J82" i="4" s="1"/>
  <c r="AE81" i="4"/>
  <c r="M81" i="4"/>
  <c r="L81" i="4"/>
  <c r="I81" i="4"/>
  <c r="J81" i="4" s="1"/>
  <c r="Y80" i="4"/>
  <c r="U80" i="4"/>
  <c r="AE78" i="4"/>
  <c r="M78" i="4"/>
  <c r="L78" i="4"/>
  <c r="I78" i="4"/>
  <c r="J78" i="4" s="1"/>
  <c r="AE77" i="4"/>
  <c r="M77" i="4"/>
  <c r="L77" i="4"/>
  <c r="I77" i="4"/>
  <c r="J77" i="4" s="1"/>
  <c r="AE76" i="4"/>
  <c r="M76" i="4"/>
  <c r="G76" i="4"/>
  <c r="L76" i="4" s="1"/>
  <c r="AE75" i="4"/>
  <c r="M75" i="4"/>
  <c r="L75" i="4"/>
  <c r="I75" i="4"/>
  <c r="J75" i="4" s="1"/>
  <c r="AE74" i="4"/>
  <c r="M74" i="4"/>
  <c r="G74" i="4"/>
  <c r="AE73" i="4"/>
  <c r="M73" i="4"/>
  <c r="G73" i="4"/>
  <c r="L73" i="4" s="1"/>
  <c r="AE72" i="4"/>
  <c r="M72" i="4"/>
  <c r="G72" i="4"/>
  <c r="AE71" i="4"/>
  <c r="M71" i="4"/>
  <c r="G71" i="4"/>
  <c r="L71" i="4" s="1"/>
  <c r="AE70" i="4"/>
  <c r="M70" i="4"/>
  <c r="L70" i="4"/>
  <c r="I70" i="4"/>
  <c r="J70" i="4" s="1"/>
  <c r="AE69" i="4"/>
  <c r="M69" i="4"/>
  <c r="L69" i="4"/>
  <c r="I69" i="4"/>
  <c r="J69" i="4" s="1"/>
  <c r="AE68" i="4"/>
  <c r="M68" i="4"/>
  <c r="L68" i="4"/>
  <c r="I68" i="4"/>
  <c r="J68" i="4" s="1"/>
  <c r="AE67" i="4"/>
  <c r="M67" i="4"/>
  <c r="L67" i="4"/>
  <c r="I67" i="4"/>
  <c r="J67" i="4" s="1"/>
  <c r="AE66" i="4"/>
  <c r="M66" i="4"/>
  <c r="L66" i="4"/>
  <c r="I66" i="4"/>
  <c r="J66" i="4" s="1"/>
  <c r="AE65" i="4"/>
  <c r="M65" i="4"/>
  <c r="L65" i="4"/>
  <c r="I65" i="4"/>
  <c r="J65" i="4" s="1"/>
  <c r="AE64" i="4"/>
  <c r="M64" i="4"/>
  <c r="L64" i="4"/>
  <c r="I64" i="4"/>
  <c r="J64" i="4" s="1"/>
  <c r="AE63" i="4"/>
  <c r="M63" i="4"/>
  <c r="L63" i="4"/>
  <c r="I63" i="4"/>
  <c r="J63" i="4" s="1"/>
  <c r="AE62" i="4"/>
  <c r="M62" i="4"/>
  <c r="L62" i="4"/>
  <c r="I62" i="4"/>
  <c r="J62" i="4" s="1"/>
  <c r="AE61" i="4"/>
  <c r="M61" i="4"/>
  <c r="L61" i="4"/>
  <c r="I61" i="4"/>
  <c r="J61" i="4" s="1"/>
  <c r="AE60" i="4"/>
  <c r="M60" i="4"/>
  <c r="L60" i="4"/>
  <c r="I60" i="4"/>
  <c r="J60" i="4" s="1"/>
  <c r="Y59" i="4"/>
  <c r="U59" i="4"/>
  <c r="AE57" i="4"/>
  <c r="M57" i="4"/>
  <c r="L57" i="4"/>
  <c r="I57" i="4"/>
  <c r="J57" i="4" s="1"/>
  <c r="AE56" i="4"/>
  <c r="M56" i="4"/>
  <c r="L56" i="4"/>
  <c r="I56" i="4"/>
  <c r="J56" i="4" s="1"/>
  <c r="AE55" i="4"/>
  <c r="M55" i="4"/>
  <c r="L55" i="4"/>
  <c r="I55" i="4"/>
  <c r="J55" i="4" s="1"/>
  <c r="AE54" i="4"/>
  <c r="M54" i="4"/>
  <c r="G54" i="4"/>
  <c r="AE53" i="4"/>
  <c r="M53" i="4"/>
  <c r="L53" i="4"/>
  <c r="I53" i="4"/>
  <c r="J53" i="4" s="1"/>
  <c r="AE52" i="4"/>
  <c r="I52" i="4"/>
  <c r="F52" i="4"/>
  <c r="M52" i="4" s="1"/>
  <c r="AE51" i="4"/>
  <c r="M51" i="4"/>
  <c r="L51" i="4"/>
  <c r="I51" i="4"/>
  <c r="J51" i="4" s="1"/>
  <c r="AE50" i="4"/>
  <c r="M50" i="4"/>
  <c r="L50" i="4"/>
  <c r="I50" i="4"/>
  <c r="J50" i="4" s="1"/>
  <c r="AE49" i="4"/>
  <c r="M49" i="4"/>
  <c r="L49" i="4"/>
  <c r="I49" i="4"/>
  <c r="J49" i="4" s="1"/>
  <c r="AE48" i="4"/>
  <c r="M48" i="4"/>
  <c r="L48" i="4"/>
  <c r="I48" i="4"/>
  <c r="J48" i="4" s="1"/>
  <c r="AA47" i="4"/>
  <c r="Y47" i="4"/>
  <c r="U47" i="4"/>
  <c r="AE45" i="4"/>
  <c r="M45" i="4"/>
  <c r="L45" i="4"/>
  <c r="I45" i="4"/>
  <c r="J45" i="4" s="1"/>
  <c r="AE44" i="4"/>
  <c r="M44" i="4"/>
  <c r="G44" i="4"/>
  <c r="L44" i="4" s="1"/>
  <c r="AE43" i="4"/>
  <c r="M43" i="4"/>
  <c r="L43" i="4"/>
  <c r="I43" i="4"/>
  <c r="J43" i="4" s="1"/>
  <c r="AE42" i="4"/>
  <c r="M42" i="4"/>
  <c r="L42" i="4"/>
  <c r="I42" i="4"/>
  <c r="J42" i="4" s="1"/>
  <c r="AE41" i="4"/>
  <c r="M41" i="4"/>
  <c r="G41" i="4"/>
  <c r="L41" i="4" s="1"/>
  <c r="AE40" i="4"/>
  <c r="M40" i="4"/>
  <c r="G40" i="4"/>
  <c r="I40" i="4" s="1"/>
  <c r="J40" i="4" s="1"/>
  <c r="AE39" i="4"/>
  <c r="M39" i="4"/>
  <c r="G39" i="4"/>
  <c r="L39" i="4" s="1"/>
  <c r="AE38" i="4"/>
  <c r="M38" i="4"/>
  <c r="G38" i="4"/>
  <c r="L38" i="4" s="1"/>
  <c r="Y37" i="4"/>
  <c r="U37" i="4"/>
  <c r="AE35" i="4"/>
  <c r="M35" i="4"/>
  <c r="L35" i="4"/>
  <c r="I35" i="4"/>
  <c r="J35" i="4" s="1"/>
  <c r="AE34" i="4"/>
  <c r="M34" i="4"/>
  <c r="L34" i="4"/>
  <c r="I34" i="4"/>
  <c r="J34" i="4" s="1"/>
  <c r="AE33" i="4"/>
  <c r="M33" i="4"/>
  <c r="L33" i="4"/>
  <c r="I33" i="4"/>
  <c r="J33" i="4" s="1"/>
  <c r="AE32" i="4"/>
  <c r="M32" i="4"/>
  <c r="L32" i="4"/>
  <c r="I32" i="4"/>
  <c r="J32" i="4" s="1"/>
  <c r="AE31" i="4"/>
  <c r="M31" i="4"/>
  <c r="G31" i="4"/>
  <c r="L31" i="4" s="1"/>
  <c r="AE30" i="4"/>
  <c r="M30" i="4"/>
  <c r="L30" i="4"/>
  <c r="I30" i="4"/>
  <c r="J30" i="4" s="1"/>
  <c r="AE29" i="4"/>
  <c r="M29" i="4"/>
  <c r="L29" i="4"/>
  <c r="I29" i="4"/>
  <c r="J29" i="4" s="1"/>
  <c r="AE28" i="4"/>
  <c r="M28" i="4"/>
  <c r="L28" i="4"/>
  <c r="I28" i="4"/>
  <c r="J28" i="4" s="1"/>
  <c r="Y27" i="4"/>
  <c r="U27" i="4"/>
  <c r="AE25" i="4"/>
  <c r="I25" i="4"/>
  <c r="F25" i="4"/>
  <c r="L25" i="4" s="1"/>
  <c r="M24" i="4"/>
  <c r="L24" i="4"/>
  <c r="I24" i="4"/>
  <c r="J24" i="4" s="1"/>
  <c r="AE23" i="4"/>
  <c r="M23" i="4"/>
  <c r="L23" i="4"/>
  <c r="I23" i="4"/>
  <c r="J23" i="4" s="1"/>
  <c r="AE22" i="4"/>
  <c r="M22" i="4"/>
  <c r="L22" i="4"/>
  <c r="I22" i="4"/>
  <c r="J22" i="4" s="1"/>
  <c r="AE21" i="4"/>
  <c r="M21" i="4"/>
  <c r="L21" i="4"/>
  <c r="I21" i="4"/>
  <c r="J21" i="4" s="1"/>
  <c r="AE20" i="4"/>
  <c r="M20" i="4"/>
  <c r="L20" i="4"/>
  <c r="I20" i="4"/>
  <c r="J20" i="4" s="1"/>
  <c r="AE19" i="4"/>
  <c r="M19" i="4"/>
  <c r="L19" i="4"/>
  <c r="I19" i="4"/>
  <c r="J19" i="4" s="1"/>
  <c r="AE18" i="4"/>
  <c r="M18" i="4"/>
  <c r="G18" i="4"/>
  <c r="I18" i="4" s="1"/>
  <c r="J18" i="4" s="1"/>
  <c r="AE17" i="4"/>
  <c r="M17" i="4"/>
  <c r="L17" i="4"/>
  <c r="I17" i="4"/>
  <c r="J17" i="4" s="1"/>
  <c r="AE16" i="4"/>
  <c r="M16" i="4"/>
  <c r="L16" i="4"/>
  <c r="I16" i="4"/>
  <c r="J16" i="4" s="1"/>
  <c r="AE15" i="4"/>
  <c r="M15" i="4"/>
  <c r="L15" i="4"/>
  <c r="I15" i="4"/>
  <c r="J15" i="4" s="1"/>
  <c r="AE14" i="4"/>
  <c r="M14" i="4"/>
  <c r="G14" i="4"/>
  <c r="L14" i="4" s="1"/>
  <c r="AE13" i="4"/>
  <c r="M13" i="4"/>
  <c r="G13" i="4"/>
  <c r="I13" i="4" s="1"/>
  <c r="J13" i="4" s="1"/>
  <c r="AE12" i="4"/>
  <c r="M12" i="4"/>
  <c r="G12" i="4"/>
  <c r="I12" i="4" s="1"/>
  <c r="J12" i="4" s="1"/>
  <c r="AE11" i="4"/>
  <c r="M11" i="4"/>
  <c r="G11" i="4"/>
  <c r="L11" i="4" s="1"/>
  <c r="AE10" i="4"/>
  <c r="M10" i="4"/>
  <c r="G10" i="4"/>
  <c r="I10" i="4" s="1"/>
  <c r="J10" i="4" s="1"/>
  <c r="AE9" i="4"/>
  <c r="M9" i="4"/>
  <c r="G9" i="4"/>
  <c r="I9" i="4" s="1"/>
  <c r="J9" i="4" s="1"/>
  <c r="AE8" i="4"/>
  <c r="M8" i="4"/>
  <c r="I8" i="4"/>
  <c r="J8" i="4" s="1"/>
  <c r="G8" i="4"/>
  <c r="L8" i="4" s="1"/>
  <c r="L10" i="4" l="1"/>
  <c r="J149" i="4"/>
  <c r="J25" i="4"/>
  <c r="L127" i="4"/>
  <c r="N127" i="4" s="1"/>
  <c r="N147" i="4"/>
  <c r="N148" i="4"/>
  <c r="N155" i="4"/>
  <c r="N165" i="4"/>
  <c r="AA165" i="4" s="1"/>
  <c r="N106" i="4"/>
  <c r="AC106" i="4" s="1"/>
  <c r="N14" i="4"/>
  <c r="AC14" i="4" s="1"/>
  <c r="N16" i="4"/>
  <c r="AA16" i="4" s="1"/>
  <c r="N17" i="4"/>
  <c r="N24" i="4"/>
  <c r="N82" i="4"/>
  <c r="AC82" i="4" s="1"/>
  <c r="N95" i="4"/>
  <c r="N115" i="4"/>
  <c r="N138" i="4"/>
  <c r="N140" i="4"/>
  <c r="N116" i="4"/>
  <c r="AA116" i="4" s="1"/>
  <c r="N118" i="4"/>
  <c r="AC118" i="4" s="1"/>
  <c r="N29" i="4"/>
  <c r="I38" i="4"/>
  <c r="J38" i="4" s="1"/>
  <c r="I39" i="4"/>
  <c r="J39" i="4" s="1"/>
  <c r="N57" i="4"/>
  <c r="N152" i="4"/>
  <c r="N110" i="4"/>
  <c r="AA110" i="4" s="1"/>
  <c r="N111" i="4"/>
  <c r="N21" i="4"/>
  <c r="N23" i="4"/>
  <c r="N49" i="4"/>
  <c r="BR49" i="4" s="1"/>
  <c r="BS49" i="4" s="1"/>
  <c r="N51" i="4"/>
  <c r="N73" i="4"/>
  <c r="N135" i="4"/>
  <c r="N151" i="4"/>
  <c r="N160" i="4"/>
  <c r="N35" i="4"/>
  <c r="N62" i="4"/>
  <c r="N76" i="4"/>
  <c r="N77" i="4"/>
  <c r="N78" i="4"/>
  <c r="AC78" i="4" s="1"/>
  <c r="N96" i="4"/>
  <c r="N113" i="4"/>
  <c r="AA113" i="4" s="1"/>
  <c r="N130" i="4"/>
  <c r="N134" i="4"/>
  <c r="I14" i="4"/>
  <c r="J14" i="4" s="1"/>
  <c r="N55" i="4"/>
  <c r="I73" i="4"/>
  <c r="J73" i="4" s="1"/>
  <c r="N84" i="4"/>
  <c r="J108" i="4"/>
  <c r="N120" i="4"/>
  <c r="N8" i="4"/>
  <c r="L12" i="4"/>
  <c r="N12" i="4" s="1"/>
  <c r="N15" i="4"/>
  <c r="AA15" i="4" s="1"/>
  <c r="N19" i="4"/>
  <c r="N22" i="4"/>
  <c r="I31" i="4"/>
  <c r="J31" i="4" s="1"/>
  <c r="N48" i="4"/>
  <c r="N53" i="4"/>
  <c r="N86" i="4"/>
  <c r="N87" i="4"/>
  <c r="J104" i="4"/>
  <c r="L105" i="4"/>
  <c r="N105" i="4" s="1"/>
  <c r="J107" i="4"/>
  <c r="L108" i="4"/>
  <c r="N108" i="4" s="1"/>
  <c r="N112" i="4"/>
  <c r="L146" i="4"/>
  <c r="N146" i="4" s="1"/>
  <c r="J159" i="4"/>
  <c r="J166" i="4"/>
  <c r="N10" i="4"/>
  <c r="AA10" i="4" s="1"/>
  <c r="N39" i="4"/>
  <c r="N45" i="4"/>
  <c r="N90" i="4"/>
  <c r="N91" i="4"/>
  <c r="AC91" i="4" s="1"/>
  <c r="N97" i="4"/>
  <c r="L100" i="4"/>
  <c r="L101" i="4"/>
  <c r="N101" i="4" s="1"/>
  <c r="N114" i="4"/>
  <c r="N117" i="4"/>
  <c r="N119" i="4"/>
  <c r="J127" i="4"/>
  <c r="N142" i="4"/>
  <c r="N162" i="4"/>
  <c r="L166" i="4"/>
  <c r="N166" i="4" s="1"/>
  <c r="N71" i="4"/>
  <c r="AA114" i="4"/>
  <c r="N20" i="4"/>
  <c r="N30" i="4"/>
  <c r="N38" i="4"/>
  <c r="L40" i="4"/>
  <c r="N40" i="4" s="1"/>
  <c r="I41" i="4"/>
  <c r="J41" i="4" s="1"/>
  <c r="N60" i="4"/>
  <c r="N67" i="4"/>
  <c r="N69" i="4"/>
  <c r="I76" i="4"/>
  <c r="J76" i="4" s="1"/>
  <c r="N88" i="4"/>
  <c r="AC88" i="4" s="1"/>
  <c r="N103" i="4"/>
  <c r="AC103" i="4" s="1"/>
  <c r="N129" i="4"/>
  <c r="N133" i="4"/>
  <c r="N137" i="4"/>
  <c r="N141" i="4"/>
  <c r="J150" i="4"/>
  <c r="N161" i="4"/>
  <c r="AA161" i="4" s="1"/>
  <c r="J167" i="4"/>
  <c r="N31" i="4"/>
  <c r="N32" i="4"/>
  <c r="N33" i="4"/>
  <c r="N34" i="4"/>
  <c r="AC34" i="4" s="1"/>
  <c r="N44" i="4"/>
  <c r="N50" i="4"/>
  <c r="J52" i="4"/>
  <c r="N56" i="4"/>
  <c r="N63" i="4"/>
  <c r="N65" i="4"/>
  <c r="N68" i="4"/>
  <c r="N70" i="4"/>
  <c r="I71" i="4"/>
  <c r="J71" i="4" s="1"/>
  <c r="N75" i="4"/>
  <c r="N83" i="4"/>
  <c r="N92" i="4"/>
  <c r="N99" i="4"/>
  <c r="I135" i="4"/>
  <c r="J135" i="4" s="1"/>
  <c r="N136" i="4"/>
  <c r="N139" i="4"/>
  <c r="N145" i="4"/>
  <c r="L150" i="4"/>
  <c r="N150" i="4" s="1"/>
  <c r="N153" i="4"/>
  <c r="I155" i="4"/>
  <c r="J155" i="4" s="1"/>
  <c r="J164" i="4"/>
  <c r="M167" i="4"/>
  <c r="N167" i="4" s="1"/>
  <c r="N41" i="4"/>
  <c r="N42" i="4"/>
  <c r="N43" i="4"/>
  <c r="L52" i="4"/>
  <c r="N52" i="4" s="1"/>
  <c r="N61" i="4"/>
  <c r="N64" i="4"/>
  <c r="N66" i="4"/>
  <c r="M100" i="4"/>
  <c r="L102" i="4"/>
  <c r="N102" i="4" s="1"/>
  <c r="L104" i="4"/>
  <c r="N104" i="4" s="1"/>
  <c r="N123" i="4"/>
  <c r="N126" i="4"/>
  <c r="N128" i="4"/>
  <c r="N131" i="4"/>
  <c r="N132" i="4"/>
  <c r="I136" i="4"/>
  <c r="J136" i="4" s="1"/>
  <c r="N143" i="4"/>
  <c r="I145" i="4"/>
  <c r="J145" i="4" s="1"/>
  <c r="N154" i="4"/>
  <c r="I156" i="4"/>
  <c r="J156" i="4" s="1"/>
  <c r="L159" i="4"/>
  <c r="N159" i="4" s="1"/>
  <c r="N163" i="4"/>
  <c r="AA163" i="4" s="1"/>
  <c r="N11" i="4"/>
  <c r="L94" i="4"/>
  <c r="N94" i="4" s="1"/>
  <c r="I94" i="4"/>
  <c r="J94" i="4" s="1"/>
  <c r="L109" i="4"/>
  <c r="N109" i="4" s="1"/>
  <c r="I109" i="4"/>
  <c r="J109" i="4" s="1"/>
  <c r="AA8" i="4"/>
  <c r="L9" i="4"/>
  <c r="N9" i="4" s="1"/>
  <c r="I11" i="4"/>
  <c r="J11" i="4" s="1"/>
  <c r="L13" i="4"/>
  <c r="N13" i="4" s="1"/>
  <c r="L18" i="4"/>
  <c r="N18" i="4" s="1"/>
  <c r="M25" i="4"/>
  <c r="N25" i="4" s="1"/>
  <c r="I74" i="4"/>
  <c r="J74" i="4" s="1"/>
  <c r="L74" i="4"/>
  <c r="N74" i="4" s="1"/>
  <c r="AC8" i="4"/>
  <c r="N28" i="4"/>
  <c r="I44" i="4"/>
  <c r="J44" i="4" s="1"/>
  <c r="I54" i="4"/>
  <c r="J54" i="4" s="1"/>
  <c r="L54" i="4"/>
  <c r="N54" i="4" s="1"/>
  <c r="BR54" i="4" s="1"/>
  <c r="BS54" i="4" s="1"/>
  <c r="L72" i="4"/>
  <c r="N72" i="4" s="1"/>
  <c r="I72" i="4"/>
  <c r="J72" i="4" s="1"/>
  <c r="N81" i="4"/>
  <c r="N89" i="4"/>
  <c r="L98" i="4"/>
  <c r="N98" i="4" s="1"/>
  <c r="M107" i="4"/>
  <c r="N107" i="4" s="1"/>
  <c r="N85" i="4"/>
  <c r="N93" i="4"/>
  <c r="M164" i="4"/>
  <c r="N164" i="4" s="1"/>
  <c r="J144" i="4"/>
  <c r="L144" i="4"/>
  <c r="N144" i="4" s="1"/>
  <c r="N156" i="4"/>
  <c r="I123" i="4"/>
  <c r="J123" i="4" s="1"/>
  <c r="L149" i="4"/>
  <c r="N149" i="4" s="1"/>
  <c r="AA34" i="4" l="1"/>
  <c r="AA82" i="4"/>
  <c r="AC49" i="4"/>
  <c r="AF49" i="4" s="1"/>
  <c r="AG49" i="4" s="1"/>
  <c r="AC144" i="4"/>
  <c r="AF144" i="4" s="1"/>
  <c r="AG144" i="4" s="1"/>
  <c r="BR144" i="4"/>
  <c r="BS144" i="4" s="1"/>
  <c r="AC154" i="4"/>
  <c r="AF154" i="4" s="1"/>
  <c r="AG154" i="4" s="1"/>
  <c r="BR154" i="4"/>
  <c r="AC99" i="4"/>
  <c r="AA31" i="4"/>
  <c r="AA162" i="4"/>
  <c r="AA149" i="4"/>
  <c r="AF149" i="4" s="1"/>
  <c r="AG149" i="4" s="1"/>
  <c r="BR149" i="4"/>
  <c r="BS149" i="4" s="1"/>
  <c r="AC143" i="4"/>
  <c r="AF143" i="4" s="1"/>
  <c r="AG143" i="4" s="1"/>
  <c r="BR143" i="4"/>
  <c r="BS143" i="4" s="1"/>
  <c r="AA128" i="4"/>
  <c r="AF128" i="4" s="1"/>
  <c r="AG128" i="4" s="1"/>
  <c r="BR128" i="4"/>
  <c r="AC61" i="4"/>
  <c r="AC41" i="4"/>
  <c r="AC153" i="4"/>
  <c r="AF153" i="4" s="1"/>
  <c r="AG153" i="4" s="1"/>
  <c r="BR153" i="4"/>
  <c r="AA136" i="4"/>
  <c r="AF136" i="4" s="1"/>
  <c r="AG136" i="4" s="1"/>
  <c r="BR136" i="4"/>
  <c r="BS136" i="4" s="1"/>
  <c r="AC33" i="4"/>
  <c r="AA137" i="4"/>
  <c r="AF137" i="4" s="1"/>
  <c r="AG137" i="4" s="1"/>
  <c r="BR137" i="4"/>
  <c r="BS137" i="4" s="1"/>
  <c r="AC67" i="4"/>
  <c r="AA38" i="4"/>
  <c r="AC90" i="4"/>
  <c r="AA108" i="4"/>
  <c r="AC87" i="4"/>
  <c r="AC12" i="4"/>
  <c r="AC84" i="4"/>
  <c r="AA134" i="4"/>
  <c r="AF134" i="4" s="1"/>
  <c r="AG134" i="4" s="1"/>
  <c r="BR134" i="4"/>
  <c r="BS134" i="4" s="1"/>
  <c r="AC96" i="4"/>
  <c r="AC62" i="4"/>
  <c r="AA135" i="4"/>
  <c r="AF135" i="4" s="1"/>
  <c r="AG135" i="4" s="1"/>
  <c r="BR135" i="4"/>
  <c r="BS135" i="4" s="1"/>
  <c r="AC23" i="4"/>
  <c r="BK7" i="4"/>
  <c r="AC152" i="4"/>
  <c r="AF152" i="4" s="1"/>
  <c r="AG152" i="4" s="1"/>
  <c r="BR152" i="4"/>
  <c r="AC29" i="4"/>
  <c r="AA138" i="4"/>
  <c r="AF138" i="4" s="1"/>
  <c r="AG138" i="4" s="1"/>
  <c r="BR138" i="4"/>
  <c r="BS138" i="4" s="1"/>
  <c r="U24" i="4"/>
  <c r="AF24" i="4" s="1"/>
  <c r="AG24" i="4" s="1"/>
  <c r="BR24" i="4"/>
  <c r="AA147" i="4"/>
  <c r="AF147" i="4" s="1"/>
  <c r="AG147" i="4" s="1"/>
  <c r="BR147" i="4"/>
  <c r="BS147" i="4" s="1"/>
  <c r="BK125" i="4"/>
  <c r="AA106" i="4"/>
  <c r="AF106" i="4" s="1"/>
  <c r="AG106" i="4" s="1"/>
  <c r="AA126" i="4"/>
  <c r="AF126" i="4" s="1"/>
  <c r="AG126" i="4" s="1"/>
  <c r="AC52" i="4"/>
  <c r="AF52" i="4" s="1"/>
  <c r="AG52" i="4" s="1"/>
  <c r="BR52" i="4"/>
  <c r="BS52" i="4" s="1"/>
  <c r="AA167" i="4"/>
  <c r="AA150" i="4"/>
  <c r="AF150" i="4" s="1"/>
  <c r="AG150" i="4" s="1"/>
  <c r="BR150" i="4"/>
  <c r="BS150" i="4" s="1"/>
  <c r="AC75" i="4"/>
  <c r="AC65" i="4"/>
  <c r="AC50" i="4"/>
  <c r="AF50" i="4" s="1"/>
  <c r="AG50" i="4" s="1"/>
  <c r="BR50" i="4"/>
  <c r="BS50" i="4" s="1"/>
  <c r="AA32" i="4"/>
  <c r="AC161" i="4"/>
  <c r="AF161" i="4" s="1"/>
  <c r="AG161" i="4" s="1"/>
  <c r="AA133" i="4"/>
  <c r="AF133" i="4" s="1"/>
  <c r="AG133" i="4" s="1"/>
  <c r="BR133" i="4"/>
  <c r="BS133" i="4" s="1"/>
  <c r="AA88" i="4"/>
  <c r="AF88" i="4" s="1"/>
  <c r="AG88" i="4" s="1"/>
  <c r="AA60" i="4"/>
  <c r="AC30" i="4"/>
  <c r="AA45" i="4"/>
  <c r="AA86" i="4"/>
  <c r="AA22" i="4"/>
  <c r="AA130" i="4"/>
  <c r="AF130" i="4" s="1"/>
  <c r="AG130" i="4" s="1"/>
  <c r="BR130" i="4"/>
  <c r="BS130" i="4" s="1"/>
  <c r="AA78" i="4"/>
  <c r="AF78" i="4" s="1"/>
  <c r="AG78" i="4" s="1"/>
  <c r="AA35" i="4"/>
  <c r="AA73" i="4"/>
  <c r="AC21" i="4"/>
  <c r="AC57" i="4"/>
  <c r="AF57" i="4" s="1"/>
  <c r="AG57" i="4" s="1"/>
  <c r="BR57" i="4"/>
  <c r="BS57" i="4" s="1"/>
  <c r="AA118" i="4"/>
  <c r="AA115" i="4"/>
  <c r="AC17" i="4"/>
  <c r="AC165" i="4"/>
  <c r="AF165" i="4" s="1"/>
  <c r="AG165" i="4" s="1"/>
  <c r="N122" i="4"/>
  <c r="AC63" i="4"/>
  <c r="AA129" i="4"/>
  <c r="AF129" i="4" s="1"/>
  <c r="AG129" i="4" s="1"/>
  <c r="BR129" i="4"/>
  <c r="BS129" i="4" s="1"/>
  <c r="AA20" i="4"/>
  <c r="AA117" i="4"/>
  <c r="AC39" i="4"/>
  <c r="AA146" i="4"/>
  <c r="AF146" i="4" s="1"/>
  <c r="AG146" i="4" s="1"/>
  <c r="BR146" i="4"/>
  <c r="BS146" i="4" s="1"/>
  <c r="AA105" i="4"/>
  <c r="AC53" i="4"/>
  <c r="AF53" i="4" s="1"/>
  <c r="AG53" i="4" s="1"/>
  <c r="BR53" i="4"/>
  <c r="BS53" i="4" s="1"/>
  <c r="AC19" i="4"/>
  <c r="AA120" i="4"/>
  <c r="AC55" i="4"/>
  <c r="AF55" i="4" s="1"/>
  <c r="AG55" i="4" s="1"/>
  <c r="BR55" i="4"/>
  <c r="BS55" i="4" s="1"/>
  <c r="AA127" i="4"/>
  <c r="AF127" i="4" s="1"/>
  <c r="AG127" i="4" s="1"/>
  <c r="BR127" i="4"/>
  <c r="AC77" i="4"/>
  <c r="AC160" i="4"/>
  <c r="AC51" i="4"/>
  <c r="AF51" i="4" s="1"/>
  <c r="AG51" i="4" s="1"/>
  <c r="BR51" i="4"/>
  <c r="BS51" i="4" s="1"/>
  <c r="AC111" i="4"/>
  <c r="AC116" i="4"/>
  <c r="AF116" i="4" s="1"/>
  <c r="AG116" i="4" s="1"/>
  <c r="AC95" i="4"/>
  <c r="AC16" i="4"/>
  <c r="AF16" i="4" s="1"/>
  <c r="AG16" i="4" s="1"/>
  <c r="AC155" i="4"/>
  <c r="AF155" i="4" s="1"/>
  <c r="AG155" i="4" s="1"/>
  <c r="BR155" i="4"/>
  <c r="AA132" i="4"/>
  <c r="AF132" i="4" s="1"/>
  <c r="AG132" i="4" s="1"/>
  <c r="BR132" i="4"/>
  <c r="BS132" i="4" s="1"/>
  <c r="AA43" i="4"/>
  <c r="AC145" i="4"/>
  <c r="AC44" i="4"/>
  <c r="AA97" i="4"/>
  <c r="AC163" i="4"/>
  <c r="AF163" i="4" s="1"/>
  <c r="AG163" i="4" s="1"/>
  <c r="AA131" i="4"/>
  <c r="AF131" i="4" s="1"/>
  <c r="AG131" i="4" s="1"/>
  <c r="BR131" i="4"/>
  <c r="BS131" i="4" s="1"/>
  <c r="AA42" i="4"/>
  <c r="AC139" i="4"/>
  <c r="AF139" i="4" s="1"/>
  <c r="AG139" i="4" s="1"/>
  <c r="AC56" i="4"/>
  <c r="AF56" i="4" s="1"/>
  <c r="AG56" i="4" s="1"/>
  <c r="BR56" i="4"/>
  <c r="BS56" i="4" s="1"/>
  <c r="AA141" i="4"/>
  <c r="AF141" i="4" s="1"/>
  <c r="AG141" i="4" s="1"/>
  <c r="BR141" i="4"/>
  <c r="BS141" i="4" s="1"/>
  <c r="AA103" i="4"/>
  <c r="AF103" i="4" s="1"/>
  <c r="AG103" i="4" s="1"/>
  <c r="AC69" i="4"/>
  <c r="AA142" i="4"/>
  <c r="AF142" i="4" s="1"/>
  <c r="AG142" i="4" s="1"/>
  <c r="BR142" i="4"/>
  <c r="BS142" i="4" s="1"/>
  <c r="AC114" i="4"/>
  <c r="AF114" i="4" s="1"/>
  <c r="AG114" i="4" s="1"/>
  <c r="AA91" i="4"/>
  <c r="AF91" i="4" s="1"/>
  <c r="AG91" i="4" s="1"/>
  <c r="AC10" i="4"/>
  <c r="AF10" i="4" s="1"/>
  <c r="AG10" i="4" s="1"/>
  <c r="AC112" i="4"/>
  <c r="AC48" i="4"/>
  <c r="AF48" i="4" s="1"/>
  <c r="AG48" i="4" s="1"/>
  <c r="AC15" i="4"/>
  <c r="AF15" i="4" s="1"/>
  <c r="AG15" i="4" s="1"/>
  <c r="AC113" i="4"/>
  <c r="AF113" i="4" s="1"/>
  <c r="AG113" i="4" s="1"/>
  <c r="AC76" i="4"/>
  <c r="AC151" i="4"/>
  <c r="AF151" i="4" s="1"/>
  <c r="AG151" i="4" s="1"/>
  <c r="BR151" i="4"/>
  <c r="AC110" i="4"/>
  <c r="AF110" i="4" s="1"/>
  <c r="AG110" i="4" s="1"/>
  <c r="AA140" i="4"/>
  <c r="AF140" i="4" s="1"/>
  <c r="AG140" i="4" s="1"/>
  <c r="BR140" i="4"/>
  <c r="BS140" i="4" s="1"/>
  <c r="AA14" i="4"/>
  <c r="AF14" i="4" s="1"/>
  <c r="AG14" i="4" s="1"/>
  <c r="AA148" i="4"/>
  <c r="AF148" i="4" s="1"/>
  <c r="AG148" i="4" s="1"/>
  <c r="BR148" i="4"/>
  <c r="BS148" i="4" s="1"/>
  <c r="AC105" i="4"/>
  <c r="AA67" i="4"/>
  <c r="AF67" i="4" s="1"/>
  <c r="AG67" i="4" s="1"/>
  <c r="AA123" i="4"/>
  <c r="AA122" i="4" s="1"/>
  <c r="AC115" i="4"/>
  <c r="AC86" i="4"/>
  <c r="AA111" i="4"/>
  <c r="AC20" i="4"/>
  <c r="AA17" i="4"/>
  <c r="AC162" i="4"/>
  <c r="AF162" i="4" s="1"/>
  <c r="AG162" i="4" s="1"/>
  <c r="AA21" i="4"/>
  <c r="AC35" i="4"/>
  <c r="AC108" i="4"/>
  <c r="AF108" i="4" s="1"/>
  <c r="AG108" i="4" s="1"/>
  <c r="AC42" i="4"/>
  <c r="AC38" i="4"/>
  <c r="AF38" i="4" s="1"/>
  <c r="AG38" i="4" s="1"/>
  <c r="AA84" i="4"/>
  <c r="AC32" i="4"/>
  <c r="AA76" i="4"/>
  <c r="AA95" i="4"/>
  <c r="AA96" i="4"/>
  <c r="AA19" i="4"/>
  <c r="AA145" i="4"/>
  <c r="AF145" i="4" s="1"/>
  <c r="AG145" i="4" s="1"/>
  <c r="AA12" i="4"/>
  <c r="AA87" i="4"/>
  <c r="AA23" i="4"/>
  <c r="AA160" i="4"/>
  <c r="AF160" i="4" s="1"/>
  <c r="AG160" i="4" s="1"/>
  <c r="AA90" i="4"/>
  <c r="AA99" i="4"/>
  <c r="AA29" i="4"/>
  <c r="AC31" i="4"/>
  <c r="AF31" i="4" s="1"/>
  <c r="AG31" i="4" s="1"/>
  <c r="AC120" i="4"/>
  <c r="AC40" i="4"/>
  <c r="AA40" i="4"/>
  <c r="AC97" i="4"/>
  <c r="AA112" i="4"/>
  <c r="AF112" i="4" s="1"/>
  <c r="AG112" i="4" s="1"/>
  <c r="AC73" i="4"/>
  <c r="AA77" i="4"/>
  <c r="AA33" i="4"/>
  <c r="AF33" i="4" s="1"/>
  <c r="AG33" i="4" s="1"/>
  <c r="AA75" i="4"/>
  <c r="AC167" i="4"/>
  <c r="AA30" i="4"/>
  <c r="AF30" i="4" s="1"/>
  <c r="AG30" i="4" s="1"/>
  <c r="AC43" i="4"/>
  <c r="AA62" i="4"/>
  <c r="U23" i="4"/>
  <c r="Y23" i="4"/>
  <c r="Y7" i="4" s="1"/>
  <c r="AA65" i="4"/>
  <c r="AC45" i="4"/>
  <c r="AF45" i="4" s="1"/>
  <c r="AG45" i="4" s="1"/>
  <c r="AC101" i="4"/>
  <c r="AA101" i="4"/>
  <c r="AA63" i="4"/>
  <c r="AF82" i="4"/>
  <c r="AG82" i="4" s="1"/>
  <c r="AA69" i="4"/>
  <c r="AF69" i="4" s="1"/>
  <c r="AG69" i="4" s="1"/>
  <c r="AC22" i="4"/>
  <c r="AA44" i="4"/>
  <c r="N100" i="4"/>
  <c r="AA39" i="4"/>
  <c r="AC117" i="4"/>
  <c r="N37" i="4"/>
  <c r="AA119" i="4"/>
  <c r="AC119" i="4"/>
  <c r="AC104" i="4"/>
  <c r="AA104" i="4"/>
  <c r="AC102" i="4"/>
  <c r="AA102" i="4"/>
  <c r="AA61" i="4"/>
  <c r="AF61" i="4" s="1"/>
  <c r="AG61" i="4" s="1"/>
  <c r="J170" i="4"/>
  <c r="AA41" i="4"/>
  <c r="AF41" i="4" s="1"/>
  <c r="AG41" i="4" s="1"/>
  <c r="AC66" i="4"/>
  <c r="AA66" i="4"/>
  <c r="AA83" i="4"/>
  <c r="AC83" i="4"/>
  <c r="AC68" i="4"/>
  <c r="AA68" i="4"/>
  <c r="AC60" i="4"/>
  <c r="AC64" i="4"/>
  <c r="AA64" i="4"/>
  <c r="AA71" i="4"/>
  <c r="AC71" i="4"/>
  <c r="AC92" i="4"/>
  <c r="AA92" i="4"/>
  <c r="AC70" i="4"/>
  <c r="AA70" i="4"/>
  <c r="AC54" i="4"/>
  <c r="N47" i="4"/>
  <c r="AC72" i="4"/>
  <c r="AA72" i="4"/>
  <c r="N59" i="4"/>
  <c r="AC9" i="4"/>
  <c r="AA9" i="4"/>
  <c r="N7" i="4"/>
  <c r="AA98" i="4"/>
  <c r="AC98" i="4"/>
  <c r="AA13" i="4"/>
  <c r="AC13" i="4"/>
  <c r="AA166" i="4"/>
  <c r="AC166" i="4"/>
  <c r="AC109" i="4"/>
  <c r="AA109" i="4"/>
  <c r="AC89" i="4"/>
  <c r="AA89" i="4"/>
  <c r="AC156" i="4"/>
  <c r="Y156" i="4"/>
  <c r="N125" i="4"/>
  <c r="AA164" i="4"/>
  <c r="AC164" i="4"/>
  <c r="AF115" i="4"/>
  <c r="AG115" i="4" s="1"/>
  <c r="AC81" i="4"/>
  <c r="AA81" i="4"/>
  <c r="M170" i="4"/>
  <c r="L170" i="4"/>
  <c r="AF8" i="4"/>
  <c r="AG8" i="4" s="1"/>
  <c r="N158" i="4"/>
  <c r="AA159" i="4"/>
  <c r="AC159" i="4"/>
  <c r="AC85" i="4"/>
  <c r="AA85" i="4"/>
  <c r="AF118" i="4"/>
  <c r="AG118" i="4" s="1"/>
  <c r="AC107" i="4"/>
  <c r="AA107" i="4"/>
  <c r="AF34" i="4"/>
  <c r="AG34" i="4" s="1"/>
  <c r="AA74" i="4"/>
  <c r="AC74" i="4"/>
  <c r="AA94" i="4"/>
  <c r="AC94" i="4"/>
  <c r="AC11" i="4"/>
  <c r="AA11" i="4"/>
  <c r="AC18" i="4"/>
  <c r="AA18" i="4"/>
  <c r="AC93" i="4"/>
  <c r="AA93" i="4"/>
  <c r="N27" i="4"/>
  <c r="AC28" i="4"/>
  <c r="AA28" i="4"/>
  <c r="AC25" i="4"/>
  <c r="AA25" i="4"/>
  <c r="AF73" i="4" l="1"/>
  <c r="AG73" i="4" s="1"/>
  <c r="AF44" i="4"/>
  <c r="AG44" i="4" s="1"/>
  <c r="AF97" i="4"/>
  <c r="AG97" i="4" s="1"/>
  <c r="AF76" i="4"/>
  <c r="AG76" i="4" s="1"/>
  <c r="BR9" i="4"/>
  <c r="BR8" i="4"/>
  <c r="AF77" i="4"/>
  <c r="AG77" i="4" s="1"/>
  <c r="AF29" i="4"/>
  <c r="AG29" i="4" s="1"/>
  <c r="AF19" i="4"/>
  <c r="AG19" i="4" s="1"/>
  <c r="AF20" i="4"/>
  <c r="AG20" i="4" s="1"/>
  <c r="AF95" i="4"/>
  <c r="AG95" i="4" s="1"/>
  <c r="AF21" i="4"/>
  <c r="AG21" i="4" s="1"/>
  <c r="AF123" i="4"/>
  <c r="AG123" i="4" s="1"/>
  <c r="AF87" i="4"/>
  <c r="AG87" i="4" s="1"/>
  <c r="BR91" i="4"/>
  <c r="BS91" i="4" s="1"/>
  <c r="BR92" i="4"/>
  <c r="BS92" i="4" s="1"/>
  <c r="BR42" i="4"/>
  <c r="BR103" i="4"/>
  <c r="BS103" i="4" s="1"/>
  <c r="BR163" i="4"/>
  <c r="BR43" i="4"/>
  <c r="BR111" i="4"/>
  <c r="BS111" i="4" s="1"/>
  <c r="BR39" i="4"/>
  <c r="BR94" i="4"/>
  <c r="BS94" i="4" s="1"/>
  <c r="BR35" i="4"/>
  <c r="BR161" i="4"/>
  <c r="BR85" i="4"/>
  <c r="BS85" i="4" s="1"/>
  <c r="BR29" i="4"/>
  <c r="BR62" i="4"/>
  <c r="BR90" i="4"/>
  <c r="BS90" i="4" s="1"/>
  <c r="AF39" i="4"/>
  <c r="AG39" i="4" s="1"/>
  <c r="AF65" i="4"/>
  <c r="AG65" i="4" s="1"/>
  <c r="AF111" i="4"/>
  <c r="AG111" i="4" s="1"/>
  <c r="BR160" i="4"/>
  <c r="AF105" i="4"/>
  <c r="AG105" i="4" s="1"/>
  <c r="BR118" i="4"/>
  <c r="BS118" i="4" s="1"/>
  <c r="BR73" i="4"/>
  <c r="AF86" i="4"/>
  <c r="AG86" i="4" s="1"/>
  <c r="BR119" i="4"/>
  <c r="BS119" i="4" s="1"/>
  <c r="BR30" i="4"/>
  <c r="AF32" i="4"/>
  <c r="AG32" i="4" s="1"/>
  <c r="BR108" i="4"/>
  <c r="BS108" i="4" s="1"/>
  <c r="BR61" i="4"/>
  <c r="BS61" i="4" s="1"/>
  <c r="BR14" i="4"/>
  <c r="BR44" i="4"/>
  <c r="AF43" i="4"/>
  <c r="AG43" i="4" s="1"/>
  <c r="BR95" i="4"/>
  <c r="BS95" i="4" s="1"/>
  <c r="BR19" i="4"/>
  <c r="BR20" i="4"/>
  <c r="BR89" i="4"/>
  <c r="BS89" i="4" s="1"/>
  <c r="BR115" i="4"/>
  <c r="BS115" i="4" s="1"/>
  <c r="BR21" i="4"/>
  <c r="BR98" i="4"/>
  <c r="BS98" i="4" s="1"/>
  <c r="BR67" i="4"/>
  <c r="AF42" i="4"/>
  <c r="AG42" i="4" s="1"/>
  <c r="BR70" i="4"/>
  <c r="AF117" i="4"/>
  <c r="AG117" i="4" s="1"/>
  <c r="BR68" i="4"/>
  <c r="BR107" i="4"/>
  <c r="BS107" i="4" s="1"/>
  <c r="BR164" i="4"/>
  <c r="BR82" i="4"/>
  <c r="BS82" i="4" s="1"/>
  <c r="BR110" i="4"/>
  <c r="BS110" i="4" s="1"/>
  <c r="BR34" i="4"/>
  <c r="AF60" i="4"/>
  <c r="AG60" i="4" s="1"/>
  <c r="U7" i="4"/>
  <c r="U170" i="4" s="1"/>
  <c r="U172" i="4" s="1"/>
  <c r="W172" i="4" s="1"/>
  <c r="AF167" i="4"/>
  <c r="AG167" i="4" s="1"/>
  <c r="AF99" i="4"/>
  <c r="AG99" i="4" s="1"/>
  <c r="AF22" i="4"/>
  <c r="AG22" i="4" s="1"/>
  <c r="AF62" i="4"/>
  <c r="AG62" i="4" s="1"/>
  <c r="AF90" i="4"/>
  <c r="AG90" i="4" s="1"/>
  <c r="AF84" i="4"/>
  <c r="AG84" i="4" s="1"/>
  <c r="AF35" i="4"/>
  <c r="AG35" i="4" s="1"/>
  <c r="BR16" i="4"/>
  <c r="BR120" i="4"/>
  <c r="BS120" i="4" s="1"/>
  <c r="BR117" i="4"/>
  <c r="BS117" i="4" s="1"/>
  <c r="BR18" i="4"/>
  <c r="BR96" i="4"/>
  <c r="BS96" i="4" s="1"/>
  <c r="BR12" i="4"/>
  <c r="BR83" i="4"/>
  <c r="BS83" i="4" s="1"/>
  <c r="BR102" i="4"/>
  <c r="BS102" i="4" s="1"/>
  <c r="BR11" i="4"/>
  <c r="BR25" i="4"/>
  <c r="BS25" i="4" s="1"/>
  <c r="BR72" i="4"/>
  <c r="BR13" i="4"/>
  <c r="BR66" i="4"/>
  <c r="AF63" i="4"/>
  <c r="AG63" i="4" s="1"/>
  <c r="AF75" i="4"/>
  <c r="AG75" i="4" s="1"/>
  <c r="BR76" i="4"/>
  <c r="BR48" i="4"/>
  <c r="BS48" i="4" s="1"/>
  <c r="BO47" i="4"/>
  <c r="BR114" i="4"/>
  <c r="BS114" i="4" s="1"/>
  <c r="BR64" i="4"/>
  <c r="BR116" i="4"/>
  <c r="BS116" i="4" s="1"/>
  <c r="BR123" i="4"/>
  <c r="BM122" i="4"/>
  <c r="BR71" i="4"/>
  <c r="BR93" i="4"/>
  <c r="BS93" i="4" s="1"/>
  <c r="BR99" i="4"/>
  <c r="BS99" i="4" s="1"/>
  <c r="BR60" i="4"/>
  <c r="BM59" i="4"/>
  <c r="BM125" i="4"/>
  <c r="BR126" i="4"/>
  <c r="AC125" i="4"/>
  <c r="AF96" i="4"/>
  <c r="AG96" i="4" s="1"/>
  <c r="AF17" i="4"/>
  <c r="AG17" i="4" s="1"/>
  <c r="BR15" i="4"/>
  <c r="BS15" i="4" s="1"/>
  <c r="BM7" i="4"/>
  <c r="BR40" i="4"/>
  <c r="BR104" i="4"/>
  <c r="BS104" i="4" s="1"/>
  <c r="BR97" i="4"/>
  <c r="BS97" i="4" s="1"/>
  <c r="BR105" i="4"/>
  <c r="BS105" i="4" s="1"/>
  <c r="BR63" i="4"/>
  <c r="BR17" i="4"/>
  <c r="BR78" i="4"/>
  <c r="BR86" i="4"/>
  <c r="BS86" i="4" s="1"/>
  <c r="BR45" i="4"/>
  <c r="BR166" i="4"/>
  <c r="BR88" i="4"/>
  <c r="BS88" i="4" s="1"/>
  <c r="BR32" i="4"/>
  <c r="BR75" i="4"/>
  <c r="BR156" i="4"/>
  <c r="BS156" i="4" s="1"/>
  <c r="BR106" i="4"/>
  <c r="BS106" i="4" s="1"/>
  <c r="BR87" i="4"/>
  <c r="BS87" i="4" s="1"/>
  <c r="BR101" i="4"/>
  <c r="BS101" i="4" s="1"/>
  <c r="BR41" i="4"/>
  <c r="BO59" i="4"/>
  <c r="BR159" i="4"/>
  <c r="BM158" i="4"/>
  <c r="BR109" i="4"/>
  <c r="BS109" i="4" s="1"/>
  <c r="BR28" i="4"/>
  <c r="BM27" i="4"/>
  <c r="BR162" i="4"/>
  <c r="BR31" i="4"/>
  <c r="N80" i="4"/>
  <c r="BM80" i="4"/>
  <c r="BO80" i="4"/>
  <c r="AF120" i="4"/>
  <c r="AG120" i="4" s="1"/>
  <c r="AF12" i="4"/>
  <c r="AG12" i="4" s="1"/>
  <c r="BR113" i="4"/>
  <c r="BS113" i="4" s="1"/>
  <c r="BR112" i="4"/>
  <c r="BS112" i="4" s="1"/>
  <c r="BR10" i="4"/>
  <c r="BO7" i="4"/>
  <c r="BR69" i="4"/>
  <c r="BR139" i="4"/>
  <c r="BO125" i="4"/>
  <c r="BR145" i="4"/>
  <c r="BS145" i="4" s="1"/>
  <c r="BR77" i="4"/>
  <c r="BO37" i="4"/>
  <c r="BR165" i="4"/>
  <c r="BR22" i="4"/>
  <c r="BR65" i="4"/>
  <c r="BR167" i="4"/>
  <c r="BR23" i="4"/>
  <c r="BG7" i="4"/>
  <c r="BR84" i="4"/>
  <c r="BS84" i="4" s="1"/>
  <c r="BR38" i="4"/>
  <c r="BM37" i="4"/>
  <c r="BR33" i="4"/>
  <c r="BO158" i="4"/>
  <c r="BO27" i="4"/>
  <c r="BR81" i="4"/>
  <c r="BR74" i="4"/>
  <c r="AC27" i="4"/>
  <c r="AA125" i="4"/>
  <c r="AF85" i="4"/>
  <c r="AG85" i="4" s="1"/>
  <c r="AF40" i="4"/>
  <c r="AG40" i="4" s="1"/>
  <c r="AF71" i="4"/>
  <c r="AG71" i="4" s="1"/>
  <c r="AC37" i="4"/>
  <c r="AF23" i="4"/>
  <c r="AG23" i="4" s="1"/>
  <c r="AF102" i="4"/>
  <c r="AG102" i="4" s="1"/>
  <c r="AA37" i="4"/>
  <c r="AF64" i="4"/>
  <c r="AG64" i="4" s="1"/>
  <c r="AF83" i="4"/>
  <c r="AG83" i="4" s="1"/>
  <c r="AC100" i="4"/>
  <c r="AC80" i="4" s="1"/>
  <c r="AA100" i="4"/>
  <c r="AA80" i="4" s="1"/>
  <c r="AF119" i="4"/>
  <c r="AG119" i="4" s="1"/>
  <c r="AF101" i="4"/>
  <c r="AG101" i="4" s="1"/>
  <c r="AF104" i="4"/>
  <c r="AG104" i="4" s="1"/>
  <c r="AC59" i="4"/>
  <c r="AC7" i="4"/>
  <c r="AF109" i="4"/>
  <c r="AG109" i="4" s="1"/>
  <c r="AF70" i="4"/>
  <c r="AG70" i="4" s="1"/>
  <c r="AF164" i="4"/>
  <c r="AG164" i="4" s="1"/>
  <c r="AF89" i="4"/>
  <c r="AG89" i="4" s="1"/>
  <c r="AF92" i="4"/>
  <c r="AG92" i="4" s="1"/>
  <c r="AF68" i="4"/>
  <c r="AG68" i="4" s="1"/>
  <c r="AF66" i="4"/>
  <c r="AG66" i="4" s="1"/>
  <c r="AF28" i="4"/>
  <c r="AG28" i="4" s="1"/>
  <c r="AA27" i="4"/>
  <c r="AF159" i="4"/>
  <c r="AG159" i="4" s="1"/>
  <c r="AA158" i="4"/>
  <c r="AF156" i="4"/>
  <c r="AG156" i="4" s="1"/>
  <c r="Y125" i="4"/>
  <c r="Y170" i="4" s="1"/>
  <c r="AF72" i="4"/>
  <c r="AG72" i="4" s="1"/>
  <c r="AA59" i="4"/>
  <c r="AF25" i="4"/>
  <c r="AG25" i="4" s="1"/>
  <c r="AF18" i="4"/>
  <c r="AG18" i="4" s="1"/>
  <c r="AF94" i="4"/>
  <c r="AG94" i="4" s="1"/>
  <c r="AF74" i="4"/>
  <c r="AG74" i="4" s="1"/>
  <c r="AF107" i="4"/>
  <c r="AG107" i="4" s="1"/>
  <c r="AF81" i="4"/>
  <c r="AG81" i="4" s="1"/>
  <c r="AF13" i="4"/>
  <c r="AG13" i="4" s="1"/>
  <c r="AF9" i="4"/>
  <c r="AG9" i="4" s="1"/>
  <c r="AF122" i="4"/>
  <c r="AG122" i="4" s="1"/>
  <c r="AF93" i="4"/>
  <c r="AG93" i="4" s="1"/>
  <c r="AF11" i="4"/>
  <c r="AG11" i="4" s="1"/>
  <c r="AC158" i="4"/>
  <c r="AA7" i="4"/>
  <c r="M178" i="4"/>
  <c r="AF166" i="4"/>
  <c r="AG166" i="4" s="1"/>
  <c r="AF98" i="4"/>
  <c r="AG98" i="4" s="1"/>
  <c r="AF54" i="4"/>
  <c r="AG54" i="4" s="1"/>
  <c r="AC47" i="4"/>
  <c r="T7" i="1"/>
  <c r="Y172" i="4" l="1"/>
  <c r="BR125" i="4"/>
  <c r="BS125" i="4" s="1"/>
  <c r="BR158" i="4"/>
  <c r="BR59" i="4"/>
  <c r="BS59" i="4" s="1"/>
  <c r="BR80" i="4"/>
  <c r="BS80" i="4" s="1"/>
  <c r="BG170" i="4"/>
  <c r="BR7" i="4"/>
  <c r="BS7" i="4" s="1"/>
  <c r="BR100" i="4"/>
  <c r="BS100" i="4" s="1"/>
  <c r="BR27" i="4"/>
  <c r="BR122" i="4"/>
  <c r="BR37" i="4"/>
  <c r="BR47" i="4"/>
  <c r="BS47" i="4" s="1"/>
  <c r="AF37" i="4"/>
  <c r="AG37" i="4" s="1"/>
  <c r="AF7" i="4"/>
  <c r="AG7" i="4" s="1"/>
  <c r="AF100" i="4"/>
  <c r="AG100" i="4" s="1"/>
  <c r="AF27" i="4"/>
  <c r="AG27" i="4" s="1"/>
  <c r="AC170" i="4"/>
  <c r="AF47" i="4"/>
  <c r="AG47" i="4" s="1"/>
  <c r="AF80" i="4"/>
  <c r="AG80" i="4" s="1"/>
  <c r="AF158" i="4"/>
  <c r="AG158" i="4" s="1"/>
  <c r="AA170" i="4"/>
  <c r="AF59" i="4"/>
  <c r="AG59" i="4" s="1"/>
  <c r="AF125" i="4"/>
  <c r="AG125" i="4" s="1"/>
  <c r="BG172" i="4" l="1"/>
  <c r="BI172" i="4" s="1"/>
  <c r="BK172" i="4" s="1"/>
  <c r="BM172" i="4" s="1"/>
  <c r="BO172" i="4" s="1"/>
  <c r="BO178" i="4" s="1"/>
  <c r="BR170" i="4"/>
  <c r="AA172" i="4"/>
  <c r="AC172" i="4" s="1"/>
  <c r="AC178" i="4" s="1"/>
  <c r="AF170" i="4"/>
  <c r="T40" i="1"/>
  <c r="T42" i="1" s="1"/>
  <c r="L40" i="1" l="1"/>
  <c r="I40" i="1"/>
  <c r="K40" i="1"/>
  <c r="V7" i="1" l="1"/>
  <c r="V40" i="1" s="1"/>
  <c r="V42" i="1" s="1"/>
  <c r="X7" i="1"/>
  <c r="Z7" i="1"/>
  <c r="M7" i="1"/>
  <c r="M40" i="1" s="1"/>
  <c r="Z40" i="1" l="1"/>
  <c r="AC7" i="1"/>
  <c r="X40" i="1"/>
  <c r="M41" i="1" l="1"/>
  <c r="S25" i="1"/>
  <c r="P23" i="1"/>
  <c r="S14" i="1"/>
  <c r="Y14" i="1"/>
  <c r="U14" i="1"/>
  <c r="O14" i="1"/>
  <c r="W14" i="1"/>
  <c r="U25" i="1"/>
  <c r="O25" i="1"/>
  <c r="P25" i="1"/>
  <c r="W25" i="1"/>
  <c r="Y25" i="1"/>
  <c r="U7" i="1"/>
  <c r="S7" i="1"/>
  <c r="Y7" i="1"/>
  <c r="AC40" i="1"/>
  <c r="AD40" i="1" s="1"/>
  <c r="AD7" i="1"/>
  <c r="W7" i="1"/>
  <c r="K41" i="1"/>
  <c r="L41" i="1"/>
  <c r="U40" i="1"/>
  <c r="S40" i="1"/>
  <c r="S42" i="1" s="1"/>
  <c r="W40" i="1"/>
  <c r="X42" i="1"/>
  <c r="Z42" i="1" s="1"/>
  <c r="Y40" i="1"/>
  <c r="O7" i="1"/>
  <c r="AB14" i="1" l="1"/>
  <c r="P40" i="1"/>
  <c r="U42" i="1"/>
  <c r="W42" i="1" s="1"/>
  <c r="Y42" i="1" s="1"/>
  <c r="N170" i="4"/>
  <c r="Z7" i="4" l="1"/>
  <c r="BH158" i="4"/>
  <c r="BF125" i="4"/>
  <c r="BH80" i="4"/>
  <c r="BH37" i="4"/>
  <c r="BH122" i="4"/>
  <c r="BJ37" i="4"/>
  <c r="BF158" i="4"/>
  <c r="BJ158" i="4"/>
  <c r="BF59" i="4"/>
  <c r="BF37" i="4"/>
  <c r="BH27" i="4"/>
  <c r="BH125" i="4"/>
  <c r="BL47" i="4"/>
  <c r="BN122" i="4"/>
  <c r="BJ27" i="4"/>
  <c r="BF80" i="4"/>
  <c r="BH47" i="4"/>
  <c r="BF47" i="4"/>
  <c r="BF122" i="4"/>
  <c r="BJ80" i="4"/>
  <c r="BH59" i="4"/>
  <c r="BF27" i="4"/>
  <c r="BJ47" i="4"/>
  <c r="BJ122" i="4"/>
  <c r="BH7" i="4"/>
  <c r="BJ59" i="4"/>
  <c r="BH170" i="4"/>
  <c r="BH172" i="4" s="1"/>
  <c r="BB122" i="4"/>
  <c r="BB37" i="4"/>
  <c r="BB7" i="4"/>
  <c r="BB47" i="4"/>
  <c r="BB27" i="4"/>
  <c r="BB80" i="4"/>
  <c r="BB59" i="4"/>
  <c r="BB158" i="4"/>
  <c r="BB125" i="4"/>
  <c r="BJ7" i="4"/>
  <c r="BJ125" i="4"/>
  <c r="BN125" i="4"/>
  <c r="BL158" i="4"/>
  <c r="BL80" i="4"/>
  <c r="BF7" i="4"/>
  <c r="BN27" i="4"/>
  <c r="BN7" i="4"/>
  <c r="BN47" i="4"/>
  <c r="BL7" i="4"/>
  <c r="BL125" i="4"/>
  <c r="BN158" i="4"/>
  <c r="BL59" i="4"/>
  <c r="BN80" i="4"/>
  <c r="BJ170" i="4"/>
  <c r="BN37" i="4"/>
  <c r="BL27" i="4"/>
  <c r="BL122" i="4"/>
  <c r="BN59" i="4"/>
  <c r="BL37" i="4"/>
  <c r="BF170" i="4"/>
  <c r="BF172" i="4" s="1"/>
  <c r="BN170" i="4"/>
  <c r="BL170" i="4"/>
  <c r="T80" i="4"/>
  <c r="V125" i="4"/>
  <c r="Z37" i="4"/>
  <c r="L171" i="4"/>
  <c r="T122" i="4"/>
  <c r="V7" i="4"/>
  <c r="AB80" i="4"/>
  <c r="X158" i="4"/>
  <c r="V59" i="4"/>
  <c r="P125" i="4"/>
  <c r="Q125" i="4"/>
  <c r="X170" i="4"/>
  <c r="AB170" i="4"/>
  <c r="T170" i="4"/>
  <c r="T172" i="4" s="1"/>
  <c r="P7" i="4"/>
  <c r="T7" i="4"/>
  <c r="X47" i="4"/>
  <c r="T125" i="4"/>
  <c r="P27" i="4"/>
  <c r="P122" i="4"/>
  <c r="Z122" i="4"/>
  <c r="Z59" i="4"/>
  <c r="P80" i="4"/>
  <c r="X80" i="4"/>
  <c r="P37" i="4"/>
  <c r="P158" i="4"/>
  <c r="N178" i="4"/>
  <c r="Z27" i="4"/>
  <c r="T158" i="4"/>
  <c r="AB7" i="4"/>
  <c r="V27" i="4"/>
  <c r="AB27" i="4"/>
  <c r="AB59" i="4"/>
  <c r="Q80" i="4"/>
  <c r="AB47" i="4"/>
  <c r="X59" i="4"/>
  <c r="V47" i="4"/>
  <c r="AB37" i="4"/>
  <c r="Z158" i="4"/>
  <c r="X125" i="4"/>
  <c r="P47" i="4"/>
  <c r="AB125" i="4"/>
  <c r="Z80" i="4"/>
  <c r="P59" i="4"/>
  <c r="V158" i="4"/>
  <c r="AB158" i="4"/>
  <c r="X27" i="4"/>
  <c r="V37" i="4"/>
  <c r="X7" i="4"/>
  <c r="Z170" i="4"/>
  <c r="V170" i="4"/>
  <c r="V172" i="4" s="1"/>
  <c r="V80" i="4"/>
  <c r="V122" i="4"/>
  <c r="Z125" i="4"/>
  <c r="M171" i="4"/>
  <c r="T37" i="4"/>
  <c r="T59" i="4"/>
  <c r="T27" i="4"/>
  <c r="X37" i="4"/>
  <c r="Q123" i="4"/>
  <c r="N171" i="4"/>
  <c r="X122" i="4"/>
  <c r="Z47" i="4"/>
  <c r="AB122" i="4"/>
  <c r="T47" i="4"/>
  <c r="BJ172" i="4" l="1"/>
  <c r="BL172" i="4" s="1"/>
  <c r="BN172" i="4" s="1"/>
  <c r="BC170" i="4"/>
  <c r="X172" i="4"/>
  <c r="Z172" i="4" s="1"/>
  <c r="AB172" i="4" s="1"/>
  <c r="Q170" i="4"/>
</calcChain>
</file>

<file path=xl/comments1.xml><?xml version="1.0" encoding="utf-8"?>
<comments xmlns="http://schemas.openxmlformats.org/spreadsheetml/2006/main">
  <authors>
    <author>Autor</author>
  </authors>
  <commentList>
    <comment ref="C16" authorId="0" shapeId="0">
      <text>
        <r>
          <rPr>
            <b/>
            <sz val="9"/>
            <color indexed="81"/>
            <rFont val="Segoe UI"/>
            <family val="2"/>
          </rPr>
          <t>São três área de estacionamento consideramos 100% da maior área de tapume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</rPr>
          <t>são três etapas (três áres de estacionamento) isoladas com tapumes distanciados po caibros a cada 2,0 m</t>
        </r>
      </text>
    </comment>
    <comment ref="C18" authorId="0" shapeId="0">
      <text>
        <r>
          <rPr>
            <sz val="9"/>
            <color indexed="81"/>
            <rFont val="Segoe UI"/>
            <family val="2"/>
          </rPr>
          <t xml:space="preserve">0,5m2 por pórtico
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</rPr>
          <t>BLOCO EXISTENTE A RETIRAR 50X50X50CM</t>
        </r>
      </text>
    </comment>
    <comment ref="C20" authorId="0" shapeId="0">
      <text>
        <r>
          <rPr>
            <b/>
            <sz val="9"/>
            <color indexed="81"/>
            <rFont val="Segoe UI"/>
            <family val="2"/>
          </rPr>
          <t>50% PARA MATERIAL A GRANEL E 50% PARA ENTULHO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</rPr>
          <t>0,5m2 por pórtico de recomposição</t>
        </r>
      </text>
    </comment>
    <comment ref="C30" authorId="0" shapeId="0">
      <text>
        <r>
          <rPr>
            <b/>
            <sz val="9"/>
            <color indexed="81"/>
            <rFont val="Segoe UI"/>
            <family val="2"/>
          </rPr>
          <t>duas estacas por pórtico</t>
        </r>
      </text>
    </comment>
    <comment ref="C31" authorId="0" shapeId="0">
      <text>
        <r>
          <rPr>
            <sz val="9"/>
            <color indexed="81"/>
            <rFont val="Segoe UI"/>
            <family val="2"/>
          </rPr>
          <t xml:space="preserve">para cada pórtico considerar 1,20x0,5x0,5m de escavação
</t>
        </r>
      </text>
    </comment>
    <comment ref="C32" authorId="0" shapeId="0">
      <text>
        <r>
          <rPr>
            <b/>
            <sz val="9"/>
            <color indexed="81"/>
            <rFont val="Segoe UI"/>
            <family val="2"/>
          </rPr>
          <t>1 metro quadrado de calçada para cada pórtico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Segoe UI"/>
            <family val="2"/>
          </rPr>
          <t>1,5 M2 DE FORMA POR BLOCO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</rPr>
          <t xml:space="preserve">duas BARRAs DE 8MM POR BLOCO + 10% = 10,46KG Um bloco por pórtico
</t>
        </r>
      </text>
    </comment>
    <comment ref="C36" authorId="0" shapeId="0">
      <text>
        <r>
          <rPr>
            <b/>
            <sz val="9"/>
            <color indexed="81"/>
            <rFont val="Segoe UI"/>
            <family val="2"/>
          </rPr>
          <t>1,20*0,5*0,5*1,1 por pórtico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</rPr>
          <t>volume das caçambas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</rPr>
          <t>área de cobertura mais a área de acesso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16" authorId="0" shapeId="0">
      <text>
        <r>
          <rPr>
            <b/>
            <sz val="9"/>
            <color indexed="81"/>
            <rFont val="Segoe UI"/>
            <family val="2"/>
          </rPr>
          <t>São três área de estacionamento consideramos 100% da maior área de tapume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</rPr>
          <t>são três etapas (três áres de estacionamento) isoladas com tapumes distanciados po caibros a cada 2,0 m</t>
        </r>
      </text>
    </comment>
    <comment ref="C18" authorId="0" shapeId="0">
      <text>
        <r>
          <rPr>
            <sz val="9"/>
            <color indexed="81"/>
            <rFont val="Segoe UI"/>
            <family val="2"/>
          </rPr>
          <t xml:space="preserve">0,5m2 por pórtico
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</rPr>
          <t>BLOCO EXISTENTE A RETIRAR 50X50X50CM</t>
        </r>
      </text>
    </comment>
    <comment ref="C20" authorId="0" shapeId="0">
      <text>
        <r>
          <rPr>
            <b/>
            <sz val="9"/>
            <color indexed="81"/>
            <rFont val="Segoe UI"/>
            <family val="2"/>
          </rPr>
          <t>50% PARA MATERIAL A GRANEL E 50% PARA ENTULHO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</rPr>
          <t>0,5m2 por pórtico de recomposição</t>
        </r>
      </text>
    </comment>
    <comment ref="C30" authorId="0" shapeId="0">
      <text>
        <r>
          <rPr>
            <b/>
            <sz val="9"/>
            <color indexed="81"/>
            <rFont val="Segoe UI"/>
            <family val="2"/>
          </rPr>
          <t>duas estacas por pórtico</t>
        </r>
      </text>
    </comment>
    <comment ref="C31" authorId="0" shapeId="0">
      <text>
        <r>
          <rPr>
            <sz val="9"/>
            <color indexed="81"/>
            <rFont val="Segoe UI"/>
            <family val="2"/>
          </rPr>
          <t xml:space="preserve">para cada pórtico considerar 1,20x0,5x0,5m de escavação
</t>
        </r>
      </text>
    </comment>
    <comment ref="C32" authorId="0" shapeId="0">
      <text>
        <r>
          <rPr>
            <b/>
            <sz val="9"/>
            <color indexed="81"/>
            <rFont val="Segoe UI"/>
            <family val="2"/>
          </rPr>
          <t>1 metro quadrado de calçada para cada pórtico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Segoe UI"/>
            <family val="2"/>
          </rPr>
          <t>1,5 M2 DE FORMA POR BLOCO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</rPr>
          <t xml:space="preserve">duas BARRAs DE 8MM POR BLOCO + 10% = 10,46KG Um bloco por pórtico
</t>
        </r>
      </text>
    </comment>
    <comment ref="C36" authorId="0" shapeId="0">
      <text>
        <r>
          <rPr>
            <b/>
            <sz val="9"/>
            <color indexed="81"/>
            <rFont val="Segoe UI"/>
            <family val="2"/>
          </rPr>
          <t>1,20*0,5*0,5*1,1 por pórtico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</rPr>
          <t>volume das caçambas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</rPr>
          <t>área de cobertura mais a área de acesso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16" authorId="0" shapeId="0">
      <text>
        <r>
          <rPr>
            <b/>
            <sz val="9"/>
            <color indexed="81"/>
            <rFont val="Segoe UI"/>
            <family val="2"/>
          </rPr>
          <t>São três área de estacionamento consideramos 100% da maior área de tapume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</rPr>
          <t>são três etapas (três áres de estacionamento) isoladas com tapumes distanciados po caibros a cada 2,0 m</t>
        </r>
      </text>
    </comment>
    <comment ref="C18" authorId="0" shapeId="0">
      <text>
        <r>
          <rPr>
            <sz val="9"/>
            <color indexed="81"/>
            <rFont val="Segoe UI"/>
            <family val="2"/>
          </rPr>
          <t xml:space="preserve">0,5m2 por pórtico
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</rPr>
          <t>BLOCO EXISTENTE A RETIRAR 50X50X50CM</t>
        </r>
      </text>
    </comment>
    <comment ref="C20" authorId="0" shapeId="0">
      <text>
        <r>
          <rPr>
            <b/>
            <sz val="9"/>
            <color indexed="81"/>
            <rFont val="Segoe UI"/>
            <family val="2"/>
          </rPr>
          <t>50% PARA MATERIAL A GRANEL E 50% PARA ENTULHO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</rPr>
          <t>0,5m2 por pórtico de recomposição</t>
        </r>
      </text>
    </comment>
    <comment ref="C30" authorId="0" shapeId="0">
      <text>
        <r>
          <rPr>
            <b/>
            <sz val="9"/>
            <color indexed="81"/>
            <rFont val="Segoe UI"/>
            <family val="2"/>
          </rPr>
          <t>duas estacas por pórtico</t>
        </r>
      </text>
    </comment>
    <comment ref="C31" authorId="0" shapeId="0">
      <text>
        <r>
          <rPr>
            <sz val="9"/>
            <color indexed="81"/>
            <rFont val="Segoe UI"/>
            <family val="2"/>
          </rPr>
          <t xml:space="preserve">para cada pórtico considerar 1,20x0,5x0,5m de escavação
</t>
        </r>
      </text>
    </comment>
    <comment ref="C32" authorId="0" shapeId="0">
      <text>
        <r>
          <rPr>
            <b/>
            <sz val="9"/>
            <color indexed="81"/>
            <rFont val="Segoe UI"/>
            <family val="2"/>
          </rPr>
          <t>1 metro quadrado de calçada para cada pórtico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Segoe UI"/>
            <family val="2"/>
          </rPr>
          <t>1,5 M2 DE FORMA POR BLOCO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</rPr>
          <t xml:space="preserve">duas BARRAs DE 8MM POR BLOCO + 10% = 10,46KG Um bloco por pórtico
</t>
        </r>
      </text>
    </comment>
    <comment ref="C36" authorId="0" shapeId="0">
      <text>
        <r>
          <rPr>
            <b/>
            <sz val="9"/>
            <color indexed="81"/>
            <rFont val="Segoe UI"/>
            <family val="2"/>
          </rPr>
          <t>1,20*0,5*0,5*1,1 por pórtico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</rPr>
          <t>volume das caçambas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</rPr>
          <t>área de cobertura mais a área de acesso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<sst xmlns="http://schemas.openxmlformats.org/spreadsheetml/2006/main" count="2311" uniqueCount="585">
  <si>
    <t>LISTA</t>
  </si>
  <si>
    <t>ITEM</t>
  </si>
  <si>
    <t>CÓDIGO</t>
  </si>
  <si>
    <t>MATERIAL/SERVIÇO</t>
  </si>
  <si>
    <t>UNIDADE</t>
  </si>
  <si>
    <t>QUANTIDADE</t>
  </si>
  <si>
    <t>COTAÇÃO</t>
  </si>
  <si>
    <t>1.1</t>
  </si>
  <si>
    <t>-</t>
  </si>
  <si>
    <t>uni</t>
  </si>
  <si>
    <t>1.2</t>
  </si>
  <si>
    <t>1.3</t>
  </si>
  <si>
    <t>Conector MC4 acoplador femea, corrente nominal de 22A, tensão de operação de até 1000VDC</t>
  </si>
  <si>
    <t>1.4</t>
  </si>
  <si>
    <t>Conector MC4 acoplador macho, corrente nominal de 22A, tensão de operação de até 1000VDC</t>
  </si>
  <si>
    <t>1.5</t>
  </si>
  <si>
    <t>Cabo solar com condutor de cobre estanhado 0,6/1KV (1500 VDC) preto, temperatura de até 120ºC e resistência a raios UV 720h, não propagante a chama e baixa emissão de gases</t>
  </si>
  <si>
    <t>m</t>
  </si>
  <si>
    <t>1.6</t>
  </si>
  <si>
    <t>Cabo solar com condutor de cobre estanhado 0,6/1KV (1500 VDC) vermelho, temperatura de até 120ºC e resistência a raios UV 720h, não propagante a chama e baixa emissão de gases</t>
  </si>
  <si>
    <t>1.8</t>
  </si>
  <si>
    <t>Estrutura perfil de aluminio anodizado para fixação de 2 placas com comprimento de 2m - com entrada para parafuso cabeça de martelo e grampo intermediário, Com Grampo intermediário de alumínio 57 mm + porca "T" + Parafuso Sextavado pré-montado e Anodizado, ou Grampo terminador de alumínio 57 mm + Porca "T" + Parafuso sextavado pré-montado e anodizado.</t>
  </si>
  <si>
    <t>1.10</t>
  </si>
  <si>
    <t>Gancho de sustentação de aço inoxidável modelo cantoneira + Porca "T" + parafuso sextavado + 2 x parafuso auto atarraxante 6x60mm</t>
  </si>
  <si>
    <t>SINAPI</t>
  </si>
  <si>
    <t>1.9</t>
  </si>
  <si>
    <t>CABO DE COBRE FLEXÍVEL ISOLADO, 6 MM², ANTI-CHAMA 0,6/1,0 KV, PARA CIRCUITOS TERMINAIS - FORNECIMENTO E INSTALAÇÃO. AF_12/2015</t>
  </si>
  <si>
    <t>TERMINAL A COMPRESSAO EM COBRE ESTANHADO PARA CABO 6 MM2, 1 FURO E 1 COMPRESSAO, PARA PARAFUSO DE FIXACAO M6</t>
  </si>
  <si>
    <t>UNI</t>
  </si>
  <si>
    <t>1.11</t>
  </si>
  <si>
    <t>1.12</t>
  </si>
  <si>
    <t>PATCH CORD, CATEGORIA 5 E, EXTENSAO DE 2,50 M</t>
  </si>
  <si>
    <t>1.13</t>
  </si>
  <si>
    <t>PARAFUSO, AUTO ATARRACHANTE, CABECA CHATA, FENDA SIMPLES, 1/4 (6,35 MM) X 25 MM</t>
  </si>
  <si>
    <t>cento</t>
  </si>
  <si>
    <t>1 - SISTEMA FOTOVOLTAICO</t>
  </si>
  <si>
    <t>2 - INFRAESTRUTURA E CABEAMENTO ELÉTRICO</t>
  </si>
  <si>
    <t>2.1</t>
  </si>
  <si>
    <t>FITA ISOLANTE ADESIVA ANTICHAMA, USO ATE 750 V, EM ROLO DE 19 MM X 20 M</t>
  </si>
  <si>
    <t>2.2</t>
  </si>
  <si>
    <t>FITA ISOLANTE DE BORRACHA AUTOFUSAO, USO ATE 69 KV (ALTA TENSAO)</t>
  </si>
  <si>
    <t>2.3</t>
  </si>
  <si>
    <t>CABO DE COBRE FLEXÍVEL ISOLADO, 10 MM², ANTI-CHAMA 0,6/1,0 KV, PARA CIRCUITOS TERMINAIS - FORNECIMENTO E INSTALAÇÃO</t>
  </si>
  <si>
    <t>2.4</t>
  </si>
  <si>
    <t>CAIXA ENTERRADA ELÉTRICA RETANGULAR, EM ALVENARIA COM TIJOLOS CERÂMICOS MACIÇOS, FUNDO COM BRITA, DIMENSÕES INTERNAS: 0,4X0,4X0,4 M</t>
  </si>
  <si>
    <t>2.5</t>
  </si>
  <si>
    <t>ELETRODUTO FLEXÍVEL CORRUGADO, PVC, DN 25 MM (3/4"), PARA CIRCUITOS TERMINAIS, INSTALADO EM FORRO - FORNECIMENTO E INSTALAÇÃO</t>
  </si>
  <si>
    <t>2.6</t>
  </si>
  <si>
    <t>DUTO ESPIRAL FLEXIVEL SINGELO PEAD D=50MM(2") REVESTIDO COM PVC COM FIO GUIA DE ACO GALVANIZADO, LANCADO DIRETO NO SOLO, INCL CONEXOES</t>
  </si>
  <si>
    <t>2.7</t>
  </si>
  <si>
    <t>ABRACADEIRA DE NYLON PARA AMARRACAO DE CABOS, COMPRIMENTO DE *230* X *7,6* MM</t>
  </si>
  <si>
    <t>2.8</t>
  </si>
  <si>
    <t>ABRACADEIRA DE NYLON PARA AMARRACAO DE CABOS, COMPRIMENTO DE 390 X *4,6* MM</t>
  </si>
  <si>
    <t>3 - STRINGBOX DE PROTEÇÃO</t>
  </si>
  <si>
    <t>3.1</t>
  </si>
  <si>
    <t>Quadro de comando IP66 40x30x20cm</t>
  </si>
  <si>
    <t>3.2</t>
  </si>
  <si>
    <t>Dispositivo de proteção contra surto 1P 1000V / 40kA</t>
  </si>
  <si>
    <t>3.3</t>
  </si>
  <si>
    <t>porta fusível com fusível solar 10x38 15A / 1000Vdc</t>
  </si>
  <si>
    <t>3.4</t>
  </si>
  <si>
    <t>chave seccionadora corrente contínua 1000V 32A</t>
  </si>
  <si>
    <t>3.5</t>
  </si>
  <si>
    <t>3.6</t>
  </si>
  <si>
    <t>TERMINAL A COMPRESSAO EM COBRE ESTANHADO PARA CABO 2,5 MM2, 1 FURO E 1 COMPRESSAO, PARA PARAFUSO DE FIXACAO M5</t>
  </si>
  <si>
    <t>3.7</t>
  </si>
  <si>
    <t>Bloco de distribuição modular 125A - 11 Furos e 2 barramentos</t>
  </si>
  <si>
    <t>3.8</t>
  </si>
  <si>
    <t>ELETRICISTA COM ENCARGOS COMPLEMENTARES (montagem quadro stringbox)</t>
  </si>
  <si>
    <t>HH</t>
  </si>
  <si>
    <t>4 - PADRÃO DE ENTRADA DE ENERGIA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</si>
  <si>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</si>
  <si>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</si>
  <si>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</si>
  <si>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</si>
  <si>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</si>
  <si>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</si>
  <si>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</si>
  <si>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</si>
  <si>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</si>
  <si>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</si>
  <si>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kg</t>
  </si>
  <si>
    <t>CABO DE COBRE, RIGIDO, CLASSE 2, ISOLACAO EM PVC/A, ANTICHAMA BWF-B, 1 CONDUTOR, 450/750 V, SECAO NOMINAL 95 MM2</t>
  </si>
  <si>
    <t>CABO DE COBRE, RIGIDO, CLASSE 2, ISOLACAO EM PVC/A, ANTICHAMA BWF-B, 1 CONDUTOR, 450/750 V, SECAO NOMINAL 50 MM2</t>
  </si>
  <si>
    <t>M</t>
  </si>
  <si>
    <t>DISJUNTOR TERMOMAGNETICO TRIPOLAR 200 A / 600 V, TIPO FXD / ICC - 35 KA</t>
  </si>
  <si>
    <t>CONECTOR METALICO TIPO PARAFUSO FENDIDO (SPLIT BOLT), PARA CABOS ATE 95 MM2</t>
  </si>
  <si>
    <t>AUXILIAR DE ELETRICISTA COM ENCARGOS COMPLEMENTARES</t>
  </si>
  <si>
    <t>TERMINAL OU CONECTOR DE PRESSAO - PARA CABO 95MM2 - FORNECIMENTO E INSTALACAO</t>
  </si>
  <si>
    <t>TERMINAL OU CONECTOR DE PRESSAO - PARA CABO 50MM2 - FORNECIMENTO E INSTALACAO</t>
  </si>
  <si>
    <t>CAIXA ENTERRADA ELÉTRICA RETANGULAR, EM ALVENARIA COM BLOCOS DE CONCRETO, FUNDO COM BRITA, DIMENSÕES INTERNAS: 0,8X0,8X0,6 M</t>
  </si>
  <si>
    <t>DUTO ESPIRAL FLEXIVEL SINGELO PEAD D=75MM(3") REVESTIDO COM PVC COM FIO GUIA DE ACO GALVANIZADO, LANCADO DIRETO NO SOLO, INCL CONEXOES</t>
  </si>
  <si>
    <t>5 - QUADRO GERAL DE BAIXA TENSÃO (QGBT)</t>
  </si>
  <si>
    <t>5.1</t>
  </si>
  <si>
    <t>5.2</t>
  </si>
  <si>
    <t>DISJUNTOR TERMOMAGNETICO TRIPOLAR PADRAO NEMA (AMERICANO) 90A 240V, FORNECIMENTO E INSTALACAO</t>
  </si>
  <si>
    <t>5.3</t>
  </si>
  <si>
    <t>DISJUNTOR TERMOMAGNETICO TRIPOLAR PADRAO NEMA (AMERICANO) 50A 240V, FORNECIMENTO E INSTALACAO</t>
  </si>
  <si>
    <t>5.4</t>
  </si>
  <si>
    <t>DISJUNTOR TERMOMAGNETICO BIPOLAR PADRAO NEMA (AMERICANO) 20A 240V, FORNECIMENTO E INSTALACAO</t>
  </si>
  <si>
    <t>5.5</t>
  </si>
  <si>
    <t>5.6</t>
  </si>
  <si>
    <t>TERMINAL OU CONECTOR DE PRESSAO - PARA CABO 70MM2 - FORNECIMENTO E INSTALACAO</t>
  </si>
  <si>
    <t>5.7</t>
  </si>
  <si>
    <t>5.8</t>
  </si>
  <si>
    <t>TERMINAL OU CONECTOR DE PRESSAO - PARA CABO 10MM2 - FORNECIMENTO E INSTALACAO</t>
  </si>
  <si>
    <t>5.9</t>
  </si>
  <si>
    <t>CABO DE COBRE FLEXÍVEL ISOLADO, 95 MM², ANTI-CHAMA 0,6/1,0 KV, PARA DISTRIBUIÇÃO - FORNECIMENTO E INSTALAÇÃO</t>
  </si>
  <si>
    <t>5.10</t>
  </si>
  <si>
    <t>CABO DE COBRE FLEXÍVEL ISOLADO, 70 MM², ANTI-CHAMA 0,6/1,0 KV, PARA DISTRIBUIÇÃO - FORNECIMENTO E INSTALAÇÃO</t>
  </si>
  <si>
    <t>5.11</t>
  </si>
  <si>
    <t>CABO DE COBRE FLEXÍVEL ISOLADO, 50 MM², ANTI-CHAMA 0,6/1,0 KV, PARA DISTRIBUIÇÃO - FORNECIMENTO E INSTALAÇÃO</t>
  </si>
  <si>
    <t>5.12</t>
  </si>
  <si>
    <t>5.13</t>
  </si>
  <si>
    <t>BARRAMENTO COBRE 200A</t>
  </si>
  <si>
    <t>5.14</t>
  </si>
  <si>
    <t>BARRAMENTO COBRE 90A</t>
  </si>
  <si>
    <t>5.15</t>
  </si>
  <si>
    <t>ISOLADOR EPOXI 30X30MM ROSCA 1/4 COM PARAFUSO SEXTAVADO 1/4X1/2"</t>
  </si>
  <si>
    <t>5.16</t>
  </si>
  <si>
    <t>CONECTOR RETO DE ALUMINIO PARA ELETRODUTO DE 3", PARA ADAPTAR ENTRADA DE ELETRODUTO METALICO FLEXIVEL EM QUADROS</t>
  </si>
  <si>
    <t>5.17</t>
  </si>
  <si>
    <t>5.18</t>
  </si>
  <si>
    <t>5.19</t>
  </si>
  <si>
    <t>6 - ABRIGO DOS INVERSORES</t>
  </si>
  <si>
    <t>6.1</t>
  </si>
  <si>
    <t>ELETRODUTO RÍGIDO ROSCÁVEL, PVC, DN 60 MM (2") - FORNECIMENTO E INSTALAÇÃO. AF_12/2015</t>
  </si>
  <si>
    <t>6.2</t>
  </si>
  <si>
    <t>CURVA 90 GRAUS PARA ELETRODUTO, PVC, ROSCÁVEL, DN 60 MM (2") - FORNECIMENTO E INSTALAÇÃO.</t>
  </si>
  <si>
    <t>6.3</t>
  </si>
  <si>
    <t>LUVA PARA ELETRODUTO, PVC, ROSCÁVEL, DN 60 MM (2") - FORNECIMENTO E INSTALAÇÃO.</t>
  </si>
  <si>
    <t>6.4</t>
  </si>
  <si>
    <t>CONECTOR RETO DE ALUMINIO PARA ELETRODUTO DE 2", PARA ADAPTAR ENTRADA DE ELETRODUTO METALICO FLEXIVEL EM QUADROS</t>
  </si>
  <si>
    <t>6.5</t>
  </si>
  <si>
    <t>BUCHA EM ALUMINIO, COM ROSCA, DE 2", PARA ELETRODUTO</t>
  </si>
  <si>
    <t>6.6</t>
  </si>
  <si>
    <t>ARRUELA EM ALUMINIO, COM ROSCA, DE 2", PARA ELETRODUTO</t>
  </si>
  <si>
    <t>6.7</t>
  </si>
  <si>
    <t>CONDULETE DE ALUMINIO TIPO T, PARA ELETRODUTO ROSCAVEL DE 2", COM TAMPA CEGA</t>
  </si>
  <si>
    <t>6.8</t>
  </si>
  <si>
    <t>CONECTOR DE ALUMINIO TIPO PRENSA CABO, BITOLA 2", PARA CABOS DE DIAMETRO DE 47,5 A 50 MM</t>
  </si>
  <si>
    <t>6.9</t>
  </si>
  <si>
    <t>DISJUNTOR TRIPOLAR TIPO DIN, CORRENTE NOMINAL DE 20A - FORNECIMENTO E INSTALAÇÃO</t>
  </si>
  <si>
    <t>6.10</t>
  </si>
  <si>
    <t>CONTATOR TRIPOLAR, CORRENTE DE 9 A, TENSAO NOMINAL DE *500* V, CATEGORIA AC-2 E AC-3</t>
  </si>
  <si>
    <t>6.12</t>
  </si>
  <si>
    <t>6.13</t>
  </si>
  <si>
    <t>6.14</t>
  </si>
  <si>
    <t>ESTACA BROCA DE CONCRETO, DIÃMETRO DE 20 CM, PROFUNDIDADE DE ATÉ 3 M</t>
  </si>
  <si>
    <t>unid</t>
  </si>
  <si>
    <t>ESCAVAÇÃO MANUAL PARA BLOCO DE COROAMENTO OU SAPATA, COM PREVISÃO DE FÔRMA</t>
  </si>
  <si>
    <t>m³</t>
  </si>
  <si>
    <t>ESCAVAÇÃO MANUAL DE VALA PARA VIGA BALDRAME, COM PREVISÃO DE FÔRMA</t>
  </si>
  <si>
    <t>ARMAÇÃO DE PILAR OU VIGA DE UMA ESTRUTURA CONVENCIONAL DE CONCRETO ARMADO EM UMA EDIFICAÇÃO TÉRREA OU SOBRADO UTILIZANDO AÇO CA-50 DE 8,0 MM</t>
  </si>
  <si>
    <t>CONCRETAGEM DE PILARES, FCK = 25 MPA, COM USO DE BALDES EM EDIFICAÇÃO COM SEÇÃO MÉDIA DE PILARES MENOR OU IGUAL A 0,25 M² - LANÇAMENTO, ADENSAMENTO E ACABAMENTO</t>
  </si>
  <si>
    <t>FABRICAÇÃO, MONTAGEM E DESMONTAGEM DE FÔRMA PARA VIGA BALDRAME E VIGA CINTA, EM MADEIRA SERRADA, E=25 MM, 1 UTILIZAÇÃO</t>
  </si>
  <si>
    <t>m²</t>
  </si>
  <si>
    <t>LAJE PRE-MOLD BETA 11 P/1KN/M2 VAOS 4,40M/INCL VIGOTAS TIJOLOS ARMADURA NEGATIVA CAPEAMENTO 3CM CONCRETO 20MPA ESCORAMENTO MATERIAL E MAO DE OBRA</t>
  </si>
  <si>
    <t>CONCRETAGEM DE VIGAS , FCK=20 MPA, PARA QUALQUER TIPO DE LAJE COM BALDES EM EDIFICAÇÃO TÉRREA, COM ÁREA MÉDIA DE LAJES MENOR OU IGUAL A 20 M² - LANÇAMENTO, ADENSAMENTO E ACABAMENTO</t>
  </si>
  <si>
    <t>FABRICAÇÃO, MONTAGEM E DESMONTAGEM DE FÔRMA PARA BLOCO DE COROAMENTO EM MADEIRA SERRADA, E=25 MM, 1 UTILIZAÇÃO</t>
  </si>
  <si>
    <t>ARMAÇÃO DE BLOCO, VIGA BALDRAME OU SAPATA UTILIZANDO AÇO CA-50 DE 8 MM</t>
  </si>
  <si>
    <t>CONCRETAGEM DE VIGAS E LAJES, FCK=20 MPA, PARA QUALQUER TIPO DE LAJE COM BALDES EM EDIFICAÇÃO TÉRREA, COM ÁREA MÉDIA DE LAJES MENOR OU IGUAL A 20 M² - LANÇAMENTO, ADENSAMENTO E ACABAMENTO</t>
  </si>
  <si>
    <t>CONCRETAGEM DE BLOCOS DE COROAMENTO , FCK 30 MPA, COM USO DE JERICA LANÇAMENTO, ADENSAMENTO E ACABAMENTO</t>
  </si>
  <si>
    <t>ALVENARIA DE VEDAÇÃO DE BLOCOS CERÂMICOS FURADOS NA VERTICAL DE 14X19X39CM (ESPESSURA 14CM) DE PAREDES COM ÁREA LÍQUIDA MENOR QUE 6M² SEM VÃOS E ARGAMASSA DE ASSENTAMENTO COM PREPARO MANUAL</t>
  </si>
  <si>
    <t>CHAPISCO APLICADO EM ALVENARIAS E ESTRUTURAS DE CONCRETO INTERNAS, COM COLHER DE PEDREIRO. ARGAMASSA TRAÇO 1:3</t>
  </si>
  <si>
    <t xml:space="preserve">EMBOÇO OU MASSA ÚNICA EM ARGAMASSA TRAÇO 1:2:8, PREPARO MANUAL, APLICADA MANUALMENTE EM PANOS DE FACHADA COM PRESENÇA DE VÃOS, ESPESSURA DE 2 5MM </t>
  </si>
  <si>
    <t>LASTRO DE CONCRETO, PREPARO MECÂNICO, INCLUSOS ADITIVO IMPERMEABILIZANTE, LANÇAMENTO E ADENSAMENTO</t>
  </si>
  <si>
    <t>PISO CIMENTADO, TRAÇO 1:3 (CIMENTO E AREIA), ACABAMENTO LISO, ESPESSURA 2,0 CM, PREPARO MECÂNICO DA ARGAMASSA</t>
  </si>
  <si>
    <t>INTERRUPTOR SIMPLES (1 MÓDULO) COM 1 TOMADA DE EMBUTIR 2P+T 10 A LUINDO SUPORTE E PLACA - FORNECIMENTO E INSTALAÇÃO</t>
  </si>
  <si>
    <t>LUMINÁRIA TIPO CALHA, DE SOBREPOR, COM 2 LÂMPADAS TUBULARES DE 36 W FORNECIMENTO E INSTALAÇÃO</t>
  </si>
  <si>
    <t>ELETRODUTO RÍGIDO ROSCÁVEL, PVC, DN 25 MM (3/4"), PARA CIRCUITOS TERMINAIS, INSTALADO EM FORRO - FORNECIMENTO E INSTALAÇÃO</t>
  </si>
  <si>
    <t>CABO DE COBRE FLEXÍVEL ISOLADO, 2,5 MM², ANTI-CHAMA 450/750 V, PARA CIRCUITOS - FORNECIMENTO E INSTALAÇÃO</t>
  </si>
  <si>
    <t>APLICAÇÃO DE FUNDO SELADOR LÁTEX PVA EM PAREDES, UMA DEMÃO</t>
  </si>
  <si>
    <t>PINTURA ESMALTE FOSCO, DUAS DEMAOS, SOBRE SUPERFICIE METALICA, INCLUSO UMA DEMAO DE FUNDO ANTICORROSIVO. UTILIZACAO DE REVOLVER</t>
  </si>
  <si>
    <t>TEXTURA ACRÍLICA, APLICAÇÃO MANUAL EM PAREDE, UMA DEMÃO</t>
  </si>
  <si>
    <t>IMPERMEAB. DE FUNDACOES/BALDRAMES/MUROS DE ARRIMO/ALICERCES E REVESTEM CONTATO C/SOLO - UTILIZ. TINTA BETUMINOSA TIPO NEUTROLIN / 2DEMAOS</t>
  </si>
  <si>
    <t>IMPERMEABILIZACAO DE SUPERFICIE COM MASTIQUE BETUMINOSO A FRIO 3  DEMÃOS</t>
  </si>
  <si>
    <t>m2</t>
  </si>
  <si>
    <t>1.7</t>
  </si>
  <si>
    <t>6.11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</si>
  <si>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</si>
  <si>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</si>
  <si>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</si>
  <si>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</si>
  <si>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</si>
  <si>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</si>
  <si>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</si>
  <si>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</si>
  <si>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</si>
  <si>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</si>
  <si>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</si>
  <si>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</si>
  <si>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</si>
  <si>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</si>
  <si>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</si>
  <si>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</si>
  <si>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</si>
  <si>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</si>
  <si>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</si>
  <si>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</si>
  <si>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</si>
  <si>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</si>
  <si>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</si>
  <si>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</si>
  <si>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</si>
  <si>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</si>
  <si>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7.1</t>
  </si>
  <si>
    <t>unid.</t>
  </si>
  <si>
    <t>DEMOLIÇÃO DE ALVENARIA DE BLOCO FURADO, DE FORMA MANUAL, SEM REAPROVEITAMENTO</t>
  </si>
  <si>
    <t>TAPUME COM TELHA METÁLICA</t>
  </si>
  <si>
    <t>AUXILIAR DE SERRALHEIRO COM ENCARGOS COMPLEMENTARES (RETIRADA E RECOLOCAÇÃO DE PORTÃO)</t>
  </si>
  <si>
    <t>hh</t>
  </si>
  <si>
    <t>SERRALHEIRO COM ENCARGOS COMPLEMENTARES  (RETIRADA E RECOLOCAÇÃO DE PORTÃO)</t>
  </si>
  <si>
    <t>DEMOLIÇÃO DE PAVIMENTO INTERTRAVADO, DE FORMA MANUAL, COM REAPROVEITAMENTO</t>
  </si>
  <si>
    <t>REMOÇÃO DE TAPUME/ CHAPAS METÁLICAS E DE MADEIRA, DE FORMA MANUAL, SEM  REAPROV.</t>
  </si>
  <si>
    <t>PLANTIO DE ÁRVORE ORNAMENTAL COM ALTURA DE MUDA MAIOR QUE 2,00 M E MENOR OU IGUAL A 4,00 M.</t>
  </si>
  <si>
    <t xml:space="preserve">RECOMPOSICAO DE PAVIMENTACAO TIPO BLOKRET SOBRE COLCHAO DE AREIA </t>
  </si>
  <si>
    <t>EXECUÇÃO DE PÁTIO/ESTACIONAMENTO EM PISO INTERTRAVADO, COM BLOCO RETANGULAR COR NATURAL DE 20 X 10 CM, ESPESSURA 8 CM.</t>
  </si>
  <si>
    <t>ALVENARIA DE VEDAÇÃO DE BLOCOS CERÂMICOS FURADOS NA VERTICAL DE 14X19X39CM (ESPESSURA 14CM) DE PAREDES COM ÁREA LÍQUIDA MENOR QUE 6M² SEM VÃOS E ARGAMASSA DE ASSENTAMENTO COM PREPARO MANUAL (MURO)</t>
  </si>
  <si>
    <t>FABRICAÇÃO, MONTAGEM E DESMONTAGEM DE FÔRMA PARA BLOCO DE COROAMENTO EM MADEIRA SERRADA, E=25 MM, 1 UTILIZAÇÃO (MURO)</t>
  </si>
  <si>
    <t>CONCRETAGEM DE BLOCOS DE COROAMENTO, FCK 30 MPA, COM USO DE JERICA LANÇAMENTO, ADENSAMENTO E ACABAMENTO</t>
  </si>
  <si>
    <t>LUMINÁRIA TIPO CALHA, DE SOBREPOR, COM 2 LÂMPADAS TUBULARES DE 36 W FORNECIMENTO E INSTALAÇÃO (ESTACIONAMENTO)</t>
  </si>
  <si>
    <t>LIMPEZA DE SUPERFÍCIE COM JATO DE ALTA PRESSÃO.</t>
  </si>
  <si>
    <t>CUSTO TOTAL SEM BDI</t>
  </si>
  <si>
    <t>CUSTO UNITÁRIO Mão de obra</t>
  </si>
  <si>
    <t>BDI (%)</t>
  </si>
  <si>
    <t>CUSTO UNITÁRIO  SEM BDI</t>
  </si>
  <si>
    <t>PREÇO TOTAL COM BDI Material</t>
  </si>
  <si>
    <t>PREÇO TOTAL COM BDI    Mão de obra</t>
  </si>
  <si>
    <t>PREÇO TOTAL COM BDI</t>
  </si>
  <si>
    <t>ELETRICISTA COM ENCARGOS COMPLEMENTARES (montagem quadro QGBT)</t>
  </si>
  <si>
    <t>1.14</t>
  </si>
  <si>
    <t>1.15</t>
  </si>
  <si>
    <t xml:space="preserve">Inversor solar trifásico 220V - 60Hz; tensão de entrada de 300V a 1.000V, tensão e saída de 220V Potência nominal de saída 15kVA com pelo menos 1 MPPT, homologado no Inmetro e com todas as proteções e sistema de monitoramento, conforme especificações do caderno de encargos </t>
  </si>
  <si>
    <t>SINAPI referencia agosto de 2019 Desonerado</t>
  </si>
  <si>
    <t>1.16</t>
  </si>
  <si>
    <t>1.17</t>
  </si>
  <si>
    <t>Anotação de Responsabilidade Técnica (ART / CREA)</t>
  </si>
  <si>
    <t>REMOÇÃO OU CORTE RASO E RECORTE DE ÁRVORE COM DIÂMETRO DE TRONCO MAIOR OU IGUAL A 0,40 M E MENOR QUE 0,60 M.</t>
  </si>
  <si>
    <t>Caçamba para remoção de entulho</t>
  </si>
  <si>
    <t>C 91931</t>
  </si>
  <si>
    <t>I 1573</t>
  </si>
  <si>
    <t>I 39605</t>
  </si>
  <si>
    <t>I 40552</t>
  </si>
  <si>
    <t>I 20111</t>
  </si>
  <si>
    <t>I 404</t>
  </si>
  <si>
    <t>C 91933</t>
  </si>
  <si>
    <t>CUSTO UNITÁRIO Material, Equipamento, Outros</t>
  </si>
  <si>
    <t>C 97887</t>
  </si>
  <si>
    <t>C 91834</t>
  </si>
  <si>
    <t xml:space="preserve"> C 73798/001</t>
  </si>
  <si>
    <t>I 412</t>
  </si>
  <si>
    <t>I 408</t>
  </si>
  <si>
    <t>I 1570</t>
  </si>
  <si>
    <t>CONECTOR PARAFUSO FENDIDO SPLIT-BOLT - PARA CABO DE 16MM2 - FORNECIMENTO E INSTALACAO</t>
  </si>
  <si>
    <t>C 72271</t>
  </si>
  <si>
    <t>C 88264</t>
  </si>
  <si>
    <t>C 88266</t>
  </si>
  <si>
    <t>C 91677</t>
  </si>
  <si>
    <t>C 88243</t>
  </si>
  <si>
    <t>ELETRICISTA COM ENCARGOS COMPLEMENTARES (montagem do padrão de entrada)</t>
  </si>
  <si>
    <t>ELETRICISTA COM ENCARGOS COMPLEMENTARES (montagem do abrigo)</t>
  </si>
  <si>
    <t>I 989</t>
  </si>
  <si>
    <t>I 1007</t>
  </si>
  <si>
    <t>I 2377</t>
  </si>
  <si>
    <t>I 11864</t>
  </si>
  <si>
    <t>C 73782/003</t>
  </si>
  <si>
    <t>C 72263</t>
  </si>
  <si>
    <t>C 97893</t>
  </si>
  <si>
    <t>C 73798/003</t>
  </si>
  <si>
    <t>C 88247</t>
  </si>
  <si>
    <t>C 74130/005</t>
  </si>
  <si>
    <t>C 74130/004</t>
  </si>
  <si>
    <t>C 74130/003</t>
  </si>
  <si>
    <t>I 1590</t>
  </si>
  <si>
    <t>I 1589</t>
  </si>
  <si>
    <t>I 1535</t>
  </si>
  <si>
    <t>C 92992</t>
  </si>
  <si>
    <t>C 92990</t>
  </si>
  <si>
    <t>C 92988</t>
  </si>
  <si>
    <t>I 2484</t>
  </si>
  <si>
    <t>C 93009</t>
  </si>
  <si>
    <t>C 93020</t>
  </si>
  <si>
    <t>C 93014</t>
  </si>
  <si>
    <t>I 2489</t>
  </si>
  <si>
    <t>I 39179</t>
  </si>
  <si>
    <t>I 39213</t>
  </si>
  <si>
    <t>C 93669</t>
  </si>
  <si>
    <t>I 2577</t>
  </si>
  <si>
    <t>I 1603</t>
  </si>
  <si>
    <t>I 1612</t>
  </si>
  <si>
    <t>C 98228</t>
  </si>
  <si>
    <t>C 96523</t>
  </si>
  <si>
    <t>C 96527</t>
  </si>
  <si>
    <t>C 92777</t>
  </si>
  <si>
    <t>C 92718</t>
  </si>
  <si>
    <t>C 96530</t>
  </si>
  <si>
    <t>C 74141/001</t>
  </si>
  <si>
    <t>C 92741</t>
  </si>
  <si>
    <t>C 96528</t>
  </si>
  <si>
    <t>C 96545</t>
  </si>
  <si>
    <t>C 96555</t>
  </si>
  <si>
    <t>C 87474</t>
  </si>
  <si>
    <t>C 87879</t>
  </si>
  <si>
    <t>C 87777</t>
  </si>
  <si>
    <t>C 83534</t>
  </si>
  <si>
    <t>C 98679</t>
  </si>
  <si>
    <t>C 92023</t>
  </si>
  <si>
    <t>C 97586</t>
  </si>
  <si>
    <t>C 91863</t>
  </si>
  <si>
    <t>C 91926</t>
  </si>
  <si>
    <t>C 88483</t>
  </si>
  <si>
    <t>C 74145/001</t>
  </si>
  <si>
    <t>C 95305</t>
  </si>
  <si>
    <t>C 74106/001</t>
  </si>
  <si>
    <t>C 74190/001</t>
  </si>
  <si>
    <t>C 97622</t>
  </si>
  <si>
    <t>C 98459</t>
  </si>
  <si>
    <t>C 88251</t>
  </si>
  <si>
    <t>C 88315</t>
  </si>
  <si>
    <t>C 97635</t>
  </si>
  <si>
    <t>C 97637</t>
  </si>
  <si>
    <t>C 98530</t>
  </si>
  <si>
    <t>C 98511</t>
  </si>
  <si>
    <t>C 83694</t>
  </si>
  <si>
    <t>C 92398</t>
  </si>
  <si>
    <t>C 99814</t>
  </si>
  <si>
    <t>ROTEADOR WIRELESS IWR 3000N 300MBPS INTELBRAS OU SIMILAR</t>
  </si>
  <si>
    <t>ELETROTÉCNICO COM ENCARGOS COMPLEMENTARES (montagem do sistema)</t>
  </si>
  <si>
    <t>AJUDANTE ESPECIALIZADO  (montagem do sistema)</t>
  </si>
  <si>
    <t>1.18</t>
  </si>
  <si>
    <t>I 10527</t>
  </si>
  <si>
    <t>m x mês</t>
  </si>
  <si>
    <t>LOCACAO DE ANDAIME METALICO TUBULAR DE ENCAIXE, TIPO DE TORRE, COM LARGURA MXMES 12,50 DE 1 ATE 1,5 M E ALTURA DE *1,00* M</t>
  </si>
  <si>
    <t>8 - OUTROS SERVIÇOS</t>
  </si>
  <si>
    <t>7 - ESTRUTURA DE SUPORTE DOS PAINÉIS FOTOVOLTAICOS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</si>
  <si>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</si>
  <si>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</si>
  <si>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</si>
  <si>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</si>
  <si>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</si>
  <si>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</si>
  <si>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</si>
  <si>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</si>
  <si>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</si>
  <si>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</si>
  <si>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</si>
  <si>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</si>
  <si>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</si>
  <si>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</si>
  <si>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</si>
  <si>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</si>
  <si>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</si>
  <si>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</si>
  <si>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</si>
  <si>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</si>
  <si>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</si>
  <si>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</si>
  <si>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</si>
  <si>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</si>
  <si>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</si>
  <si>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</si>
  <si>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</si>
  <si>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</si>
  <si>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</si>
  <si>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</si>
  <si>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9.1</t>
  </si>
  <si>
    <t>9 - SISTEMA DE PROTEÇÃO CONTRA DESCARGAS ATMOSFÉRICAS (SPDA)</t>
  </si>
  <si>
    <t>9.2</t>
  </si>
  <si>
    <t>9.3</t>
  </si>
  <si>
    <t>9.4</t>
  </si>
  <si>
    <t>9.5</t>
  </si>
  <si>
    <t>9.6</t>
  </si>
  <si>
    <t>TERMINAL OU CONECTOR DE PRESSAO - PARA CABO 35MM2 - FORNECIMENTO E INSTALACAO</t>
  </si>
  <si>
    <t>ESCAVAÇÃO MANUAL DE VALA COM PROFUNDIDADE MENOR OU IGUAL A 1,30 M. AF_03/2016</t>
  </si>
  <si>
    <t>m3</t>
  </si>
  <si>
    <t>C 96977</t>
  </si>
  <si>
    <t>CORDOALHA DE COBRE NU 50 MM², ENTERRADA, SEM ISOLADOR - FORNECIMENTO E INSTALAÇÃO. AF_12/2017</t>
  </si>
  <si>
    <t>H</t>
  </si>
  <si>
    <t>UNID</t>
  </si>
  <si>
    <t>C 72263 ADAPT</t>
  </si>
  <si>
    <t>C 72272 ADAPT</t>
  </si>
  <si>
    <t>CONECTOR PARAFUSO FENDIDO SPLIT-BOLT - PARA CABO DE 150MM2 - FORNECIMENTO E INSTALAÇÃO</t>
  </si>
  <si>
    <t>C 93358</t>
  </si>
  <si>
    <t>9.7</t>
  </si>
  <si>
    <t>C 96995</t>
  </si>
  <si>
    <t>REATERRO MANUAL APILOADO COM SOQUETE. AF_10/2017</t>
  </si>
  <si>
    <t>9.8</t>
  </si>
  <si>
    <t>9.9</t>
  </si>
  <si>
    <t>C 96976</t>
  </si>
  <si>
    <t>CORDOALHA DE COBRE NU 35 MM², NÃO ENTERRADA, COM ISOLADOR - FORNECIMENTO E INSTALAÇÃO. AF_12/2017</t>
  </si>
  <si>
    <t>C 85188</t>
  </si>
  <si>
    <t>PORTAO EM TUBO DE ACO GALVANIZADO DIN 2440/NBR 5580, PAINEL UNICO, DIMENSOES 1,0X1,6M, INCLUSIVE CADEADO</t>
  </si>
  <si>
    <t>%</t>
  </si>
  <si>
    <t>R$</t>
  </si>
  <si>
    <t>1ª Etapa</t>
  </si>
  <si>
    <t>2ª Etapa</t>
  </si>
  <si>
    <t>3ª Etapa</t>
  </si>
  <si>
    <t>4ª Etapa</t>
  </si>
  <si>
    <t>Conferencia</t>
  </si>
  <si>
    <t>rolo</t>
  </si>
  <si>
    <t>ENGENHEIRO ELETRICISTA COM ENCARGOS COMPLEMENTARES (elaboração de projetos elétricos fotovoltaico e SPDA, aprovação na Energisa, supervisão e coordenação de serviços)</t>
  </si>
  <si>
    <t>Quadro de comando IP66 1200x800x35cm</t>
  </si>
  <si>
    <t>SUBCONTRATAÇÃO</t>
  </si>
  <si>
    <t>TOTAL</t>
  </si>
  <si>
    <t>TOTAL ACUMULADO</t>
  </si>
  <si>
    <t>8.31</t>
  </si>
  <si>
    <t>ADAPT</t>
  </si>
  <si>
    <t>MOBILIZAÇÃO/REMOBILIZAÇÃO E DESMOBILIZAÇÃO</t>
  </si>
  <si>
    <r>
      <t xml:space="preserve">Fornecimento e montagem de estruturas pré-moldadas de concreto armado, </t>
    </r>
    <r>
      <rPr>
        <sz val="11"/>
        <color theme="1"/>
        <rFont val="Arial"/>
        <family val="2"/>
      </rPr>
      <t>9.98 x 30.28M. Inclusive transporte, mobilizações, locação, ART, fundações e Terças Metálicas 127x50x20 – Enrijecidas – chapa 13 – fundo oxido, conforme orçamentos</t>
    </r>
  </si>
  <si>
    <t>Planilha de Quantitativos e Custos Unitários (PQCU)</t>
  </si>
  <si>
    <t>Painel solar 72 celulas policristalino 335Wp; Voc=45,5V; Isc = 9,3A, eficiência mínima de 16,2%; tensão de operação de até 1000V, dimensões máximas de 1.960x992x40 mm, peso máximo de 26kg, conforme especificações do caderno de encargos (considerou-se 48 placas por inversor)</t>
  </si>
  <si>
    <t>5ª Etapa</t>
  </si>
  <si>
    <t>GAMA</t>
  </si>
  <si>
    <t>UNIT MO COM BDI</t>
  </si>
  <si>
    <t>UNIT MAT COM BDI</t>
  </si>
  <si>
    <t>UNIT TOTAL COM BDI</t>
  </si>
  <si>
    <t>DESCRIÇÃO</t>
  </si>
  <si>
    <r>
      <t xml:space="preserve">Fornecimento e montagem de estruturas pré-moldadas de concreto armado, </t>
    </r>
    <r>
      <rPr>
        <sz val="11"/>
        <color theme="1"/>
        <rFont val="Arial"/>
        <family val="2"/>
      </rPr>
      <t>9.98 x 30.28M. Inclusive transporte, mobilizações, fundações e Terças Metálicas 127x50x20 – Enrijecidas – chapa 13 – fundo oxido, conforme orçamentos</t>
    </r>
  </si>
  <si>
    <t>1.0</t>
  </si>
  <si>
    <t xml:space="preserve">DOCUMENTAÇÃO e ADMINISTRAÇÃO DE OBRA       </t>
  </si>
  <si>
    <t xml:space="preserve">CREA/CAU           </t>
  </si>
  <si>
    <t xml:space="preserve">ART OU RRT - FAIXA 3 CONTRATO ACIMA R$ 15.000,00  </t>
  </si>
  <si>
    <t xml:space="preserve">ENCARREGADO GERAL DE OBRAS COM ENCARGOS COMPLEMENTARES  </t>
  </si>
  <si>
    <t>MÊS</t>
  </si>
  <si>
    <t xml:space="preserve">ELABORAÇÃO DO PROGRAMA DE CONTROLE MÉDICO E SAÚDE OCUPACIONAL CONFORME NR 07  </t>
  </si>
  <si>
    <t xml:space="preserve">ELABORAÇÃO DO PROGRAMA DE PREVENÇÃO DE RISCOS AMBIENTAIS  DE ACORDO COM A NR 09  </t>
  </si>
  <si>
    <t>2.0</t>
  </si>
  <si>
    <t>PÓRTICO DE CONCRETO E COBERTURA PERFURADA</t>
  </si>
  <si>
    <t xml:space="preserve">SERVIÇO DE MOBILIZAÇÃO / DESMOBILIZAÇÃO DE CANTEIRO DE OBRAS  </t>
  </si>
  <si>
    <t>M2</t>
  </si>
  <si>
    <t>EXECUÇÃO DE PASSEIO (CALÇADA) OU PISO DE CONCRETO COM CONCRETO MOLDADO IN LOCO, FEITO EM OBRA, ACABAMENTO CONVENCIONAL, ESPESSURA 8 CM, ARMADO. AF_07/2016</t>
  </si>
  <si>
    <t>94994U</t>
  </si>
  <si>
    <t>3.0</t>
  </si>
  <si>
    <t>3.10</t>
  </si>
  <si>
    <t>3.9</t>
  </si>
  <si>
    <t>3.11</t>
  </si>
  <si>
    <t>M3</t>
  </si>
  <si>
    <t>DEMOLIÇÃO DE PILARES E VIGAS EM CONCRETO ARMADO, DE FORMA MECANIZADA COM MARTELETE, SEM REAPROVEITAMENTO. AF_12/2017</t>
  </si>
  <si>
    <t>PLANILHA DE COTAÇÕES</t>
  </si>
  <si>
    <t>Serviço</t>
  </si>
  <si>
    <t>Empresa/ endereço</t>
  </si>
  <si>
    <t>fone</t>
  </si>
  <si>
    <t xml:space="preserve">nome </t>
  </si>
  <si>
    <t>data</t>
  </si>
  <si>
    <t>unidade</t>
  </si>
  <si>
    <t>preço unitário</t>
  </si>
  <si>
    <t>VALOR ADOTADO = MEDIANA DAS EMPRESAS</t>
  </si>
  <si>
    <t>Data de referência de preços:   2020/03</t>
  </si>
  <si>
    <t>SINAPI + IMOP</t>
  </si>
  <si>
    <t>Código:   00001</t>
  </si>
  <si>
    <t>Região de preços:   SINAPI - Campo Grande</t>
  </si>
  <si>
    <t>Código</t>
  </si>
  <si>
    <t>Descrição</t>
  </si>
  <si>
    <t>Class</t>
  </si>
  <si>
    <t>Un</t>
  </si>
  <si>
    <t>Coef</t>
  </si>
  <si>
    <t>Preço unitário (R$) sem taxas</t>
  </si>
  <si>
    <t xml:space="preserve">Total (R$) </t>
  </si>
  <si>
    <t>Consumo</t>
  </si>
  <si>
    <t>MAT</t>
  </si>
  <si>
    <t>h</t>
  </si>
  <si>
    <t>MOD</t>
  </si>
  <si>
    <t>Total MO s/taxas:</t>
  </si>
  <si>
    <t xml:space="preserve">Total MAT S/taxas </t>
  </si>
  <si>
    <t>Total geral (R$):</t>
  </si>
  <si>
    <t>Memorial Descritivo</t>
  </si>
  <si>
    <t>Isenção de responsabilidade</t>
  </si>
  <si>
    <t xml:space="preserve">* OBSERVAÇÃO IMPORTANTE:
Esta planilha foi originalmente exportada do sistema TCPOweb do Grupo PINI Ltda.
O sistema permite ao usuário a livre manipulação de várias informações inicialmente oferecidas pelo serviço, apenas como referência para trabalhos de orçamento e estimativas sob a responsabilidade exclusiva e direta da pessoa que as utiliza.
Ao optar pelo uso das informações resultantes, o usuário reconhece esses limites do serviço e assume como suas as responsabilidades inerentes desse uso, eximindo a PINI de qualquer prejuízo, conseqüência inadequada ou indesejável que porventura venha a ocorrer.
© 2017 Grupo PINI Ltda.  -  Todos os direitos reservados
</t>
  </si>
  <si>
    <t xml:space="preserve">CONSIDERANDO VIAGEM DE CAMINHÃO DE 7,5T DENTRO DE CAMPO GRANDE </t>
  </si>
  <si>
    <t>Descrição:   DESMOBILIZAÇÃO OU MOBILIZAÇÃO ( DENTRO DE CAMPO GRANDE)</t>
  </si>
  <si>
    <t>Unidade: unid        LS(%): 88,32        BDI(%): 0</t>
  </si>
  <si>
    <t xml:space="preserve">ENGENHEIRO CIVIL / ARQUITETO DE OBRA JUNIOR COM ENCARGOS COMPLEMENTARES - RAZÃO DE 40 H/MES  </t>
  </si>
  <si>
    <t>FORNECIMENTO E  TELHAMENTO COM TELHA DE AÇO/ALUMÍNIO PERFURADA E = 0,65 MM, COM 1 ÁGUA</t>
  </si>
  <si>
    <t>Vamondes Representações www.vamondes.com.br</t>
  </si>
  <si>
    <t>(11)42243566/99977-8014</t>
  </si>
  <si>
    <t xml:space="preserve">Telha perfurada trapezoidal GL pré- pintada e=0,65mm </t>
  </si>
  <si>
    <t>Airton</t>
  </si>
  <si>
    <t>Sheila</t>
  </si>
  <si>
    <t>www.sandre.com.br</t>
  </si>
  <si>
    <t>(011) 99960-5889 / 3437-6373</t>
  </si>
  <si>
    <t>Regional Telhas zafarep@terra.com.br</t>
  </si>
  <si>
    <t>Joel</t>
  </si>
  <si>
    <t>(67) 99984-4039</t>
  </si>
  <si>
    <t>Locação de Andaime 20 pç 1,5m com duas torres de 5m completa (1 mês)</t>
  </si>
  <si>
    <t>Lokeandaimes</t>
  </si>
  <si>
    <t>3342-0103/ 3042-9114</t>
  </si>
  <si>
    <t>Sakuma</t>
  </si>
  <si>
    <t>mês</t>
  </si>
  <si>
    <t>SC Andaimes</t>
  </si>
  <si>
    <t>Suporte</t>
  </si>
  <si>
    <t>Brito Caçambas</t>
  </si>
  <si>
    <t>Wagão Caçambas</t>
  </si>
  <si>
    <t>Tchê Caçambas</t>
  </si>
  <si>
    <t>Locação de caçamba com 4m³ por semana</t>
  </si>
  <si>
    <t>(67) 99960-4504 / 2525-4504</t>
  </si>
  <si>
    <t>Angélica</t>
  </si>
  <si>
    <t>CRONOGRAMA FÍSICO FINANCEIRO</t>
  </si>
  <si>
    <t>C 93572</t>
  </si>
  <si>
    <t>CREA-MS</t>
  </si>
  <si>
    <t>C 90777</t>
  </si>
  <si>
    <t>SERVENTE COM ENCARGOS COMPLEMENTARES</t>
  </si>
  <si>
    <t>C 88316</t>
  </si>
  <si>
    <t>C 92145</t>
  </si>
  <si>
    <t>C 92146</t>
  </si>
  <si>
    <t>CAMINHONETE CABINE SIMPLES COM MOTOR 1.6 FLEX, CÂMBIO MANUAL, POTÊNCIA 101 /104 CV, 2 PORTAS - CHI DIURNO. AF_11/2015</t>
  </si>
  <si>
    <t>CHI</t>
  </si>
  <si>
    <t>CHP</t>
  </si>
  <si>
    <t>CAMINHONETE CABINE SIMPLES COM MOTOR 1.6 FLEX, CÂMBIO MANUAL, POTÊNCIA 101 /104 CV, 2 PORTAS - CHP DIURNO. AF_11/2015</t>
  </si>
  <si>
    <t>TAPUME COM TELHA METÁLICA. AF_05/2018</t>
  </si>
  <si>
    <t>REMOÇÃO DE TAPUME/ CHAPAS METÁLICAS E DE MADEIRA, DE FORMA MANUAL, SEM REAPROVEITAMENTO. AF_12/2017</t>
  </si>
  <si>
    <t>C 97637U </t>
  </si>
  <si>
    <t>C 97627</t>
  </si>
  <si>
    <t xml:space="preserve">SINDUSCON MS 4.02    </t>
  </si>
  <si>
    <t xml:space="preserve">SINDUSCON MS 4.01    </t>
  </si>
  <si>
    <t>Locação de caçamba estacionaria cap.=4m3 (POR SEMANA)</t>
  </si>
  <si>
    <t>SINDUSCON MS 5.55</t>
  </si>
  <si>
    <t>SINDUSCON MS</t>
  </si>
  <si>
    <t>LOCACAO DE ANDAIME METALICO TUBULAR DE ENCAIXE, TIPO DE TORRE, COM LARGURA DE 1 ATE 1,5 M E ALTURA DE *1,00* M</t>
  </si>
  <si>
    <t>MXMES</t>
  </si>
  <si>
    <t>2.9</t>
  </si>
  <si>
    <t>C 97064</t>
  </si>
  <si>
    <t>MONTAGEM E DESMONTAGEM DE ANDAIME TUBULAR TIPO TORRE (EXCLUSIVE ANDAIME E LIMPEZA). AF_11/2017</t>
  </si>
  <si>
    <t>I 4813</t>
  </si>
  <si>
    <t>PLACA DE OBRA (PARA CONSTRUCAO CIVIL) EM CHAPA GALVANIZADA *N. 22*, ADESIVADA, DE *2,0 X 1,125* M</t>
  </si>
  <si>
    <t>C 101009</t>
  </si>
  <si>
    <t>CARGA, MANOBRA E DESCARGA DE POSTE DE CONCRETO EM CAMINHÃO CARROCERIA COM GUINDAUTO (MUNCK) 11,7 TM. AF_07/2020</t>
  </si>
  <si>
    <t>T</t>
  </si>
  <si>
    <t>COTAÇÃO MERCADO</t>
  </si>
  <si>
    <t>EXCLUIR</t>
  </si>
  <si>
    <t>INCLUIR</t>
  </si>
  <si>
    <t>TELHA PERFURADA (M2)</t>
  </si>
  <si>
    <t>TELHA TRAPEZOIDAL (7243)</t>
  </si>
  <si>
    <t>VALOR MATERIAL</t>
  </si>
  <si>
    <t>VALOR MAO DE OBRA</t>
  </si>
  <si>
    <t>TOTAL DA COMPOSIÇÃO ADAPTADA</t>
  </si>
  <si>
    <t>94213U SINAPI ADAPTADO</t>
  </si>
  <si>
    <t>C 101173</t>
  </si>
  <si>
    <t>ESTACA BROCA DE CONCRETO, DIÂMETRO DE 20CM, ESCAVAÇÃO MANUAL COM TRADO CONCHA, COM ARMADURA DE ARRANQUE. AF_05/2020</t>
  </si>
  <si>
    <t>FABRICAÇÃO, MONTAGEM E DESMONTAGEM DE FÔRMA PARA BLOCO DE COROAMENTO EM MADEIRA SERRADA, E=25 MM, 1 UTILIZAÇÃO. AF_06/2017</t>
  </si>
  <si>
    <t>ARMAÇÃO DE BLOCO, VIGA BALDRAME OU SAPATA UTILIZANDO AÇO CA-50 DE 8 MM - MONTAGEM. AF_06/2017</t>
  </si>
  <si>
    <t>CDHU - 403657 ADAPTADA SINAPI</t>
  </si>
  <si>
    <t>TRANSPORTE MANUAL HORIZONTAL DE MATERIAL DE QUALQUER NATUREZA A 60M DE DISTANCIA</t>
  </si>
  <si>
    <t>Código:   403657</t>
  </si>
  <si>
    <t>Descrição:   TRANSPORTE MANUAL HORIZONTAL DE MATERIAL DE QUALQUER NATUREZA A 60M DE DISTANCIA</t>
  </si>
  <si>
    <t>Região de preços:   Campo Grande</t>
  </si>
  <si>
    <t>Quantidade: 1m³</t>
  </si>
  <si>
    <t>Total (R$) sem taxas</t>
  </si>
  <si>
    <t>Total mão-de-obra, sem taxas (R$):</t>
  </si>
  <si>
    <t>Total outros itens, sem taxas (R$):</t>
  </si>
  <si>
    <t>Total geral, sem taxas (R$):</t>
  </si>
  <si>
    <t>SERVIÇOS PRELIMINARES</t>
  </si>
  <si>
    <t>3.12</t>
  </si>
  <si>
    <t>3.13</t>
  </si>
  <si>
    <t>TCPO  3R 33 18 27 00 00 00 10 09 ADAPTADA SINAPI</t>
  </si>
  <si>
    <t>Tachão refletivo bidirecional</t>
  </si>
  <si>
    <t>Código:   3R 33 18 27 00 00 00 10 09</t>
  </si>
  <si>
    <t>Descrição:   Tachão refletivo bidirecional</t>
  </si>
  <si>
    <t>un</t>
  </si>
  <si>
    <t>Tachão com refletivo bidirecional e pino de fixação 25 x 14,5 x 5 cm</t>
  </si>
  <si>
    <t>CONTEÚDO DO SERVIÇO</t>
  </si>
  <si>
    <t>Considera material e mão de obra para instalação do tachão e a sua fixação no local indicado em projeto.</t>
  </si>
  <si>
    <t>CRITÉRIO DE MEDIÇÃO</t>
  </si>
  <si>
    <t xml:space="preserve">Medido pela quantidade instalada. </t>
  </si>
  <si>
    <t>NORMAS TÉCNICAS</t>
  </si>
  <si>
    <t>NBR 14636. Sinalização Horizontal Viária – Tachas Refletivas Viárias - Requisitos.</t>
  </si>
  <si>
    <t xml:space="preserve">Quantidade: 1un        </t>
  </si>
  <si>
    <t>MERCADO</t>
  </si>
  <si>
    <t>PEDREIRO COM ENCARGOS COMPLEMENTARES</t>
  </si>
  <si>
    <t>C 88309</t>
  </si>
  <si>
    <t>AJUDANTE DE PEDREIRO COM ENCARGOS COMPLEMENTARES</t>
  </si>
  <si>
    <t>C 88242</t>
  </si>
  <si>
    <t>I 156</t>
  </si>
  <si>
    <t>ADESIVO ESTRUTURAL A BASE DE RESINA EPOXI, BICOMPONENTE, FLUIDO (KG)</t>
  </si>
  <si>
    <t>TACHÃO</t>
  </si>
  <si>
    <t>MÉDIA</t>
  </si>
  <si>
    <t>IMPOSTOS E FRETE - 15%</t>
  </si>
  <si>
    <t>Demais composições e insumos</t>
  </si>
  <si>
    <t>Composições e Insumos SINAPI Não Desonerado</t>
  </si>
  <si>
    <t>Composições adaptadas SINAPI Não Desonerado</t>
  </si>
  <si>
    <t>PLANILHA DE QUANTITATIVOS E CUSTOS UNITÁRIOS (PQCU)</t>
  </si>
  <si>
    <t>Planilha de Composições de Custos Unitários (PCCU)</t>
  </si>
  <si>
    <t>usar essas &gt;&gt;&gt;&gt;&gt;</t>
  </si>
  <si>
    <t>valor final menor</t>
  </si>
  <si>
    <t>mão de obra não desonerada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</si>
</sst>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dd\-mmm\-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2"/>
      <color rgb="FF000000"/>
      <name val="Open Sans"/>
      <family val="2"/>
    </font>
    <font>
      <b/>
      <sz val="11"/>
      <color rgb="FFFFFFFF"/>
      <name val="Calibri"/>
    </font>
    <font>
      <b/>
      <sz val="11"/>
      <name val="Calibri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2" fillId="4" borderId="1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" fontId="2" fillId="4" borderId="1" xfId="0" applyNumberFormat="1" applyFont="1" applyFill="1" applyBorder="1" applyAlignment="1" applyProtection="1">
      <alignment horizontal="center" vertical="center"/>
      <protection hidden="1"/>
    </xf>
    <xf numFmtId="44" fontId="2" fillId="4" borderId="1" xfId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left" vertical="center" wrapText="1"/>
      <protection hidden="1"/>
    </xf>
    <xf numFmtId="44" fontId="2" fillId="2" borderId="1" xfId="1" applyFont="1" applyFill="1" applyBorder="1" applyAlignment="1" applyProtection="1">
      <alignment horizontal="center" vertical="center" wrapText="1"/>
      <protection hidden="1"/>
    </xf>
    <xf numFmtId="44" fontId="0" fillId="0" borderId="0" xfId="0" applyNumberFormat="1" applyFont="1"/>
    <xf numFmtId="44" fontId="3" fillId="3" borderId="1" xfId="1" applyFont="1" applyFill="1" applyBorder="1" applyAlignment="1" applyProtection="1">
      <alignment horizontal="center" vertical="center"/>
      <protection hidden="1"/>
    </xf>
    <xf numFmtId="44" fontId="2" fillId="6" borderId="1" xfId="1" applyFont="1" applyFill="1" applyBorder="1" applyAlignment="1" applyProtection="1">
      <alignment horizontal="center" vertical="center" wrapText="1"/>
      <protection hidden="1"/>
    </xf>
    <xf numFmtId="44" fontId="2" fillId="6" borderId="1" xfId="1" applyFont="1" applyFill="1" applyBorder="1" applyAlignment="1" applyProtection="1">
      <alignment horizontal="center" vertical="center"/>
      <protection hidden="1"/>
    </xf>
    <xf numFmtId="0" fontId="0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ont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10" fontId="4" fillId="5" borderId="1" xfId="0" applyNumberFormat="1" applyFont="1" applyFill="1" applyBorder="1" applyAlignment="1">
      <alignment horizontal="center" vertical="center"/>
    </xf>
    <xf numFmtId="10" fontId="0" fillId="0" borderId="0" xfId="2" applyNumberFormat="1" applyFont="1"/>
    <xf numFmtId="0" fontId="9" fillId="7" borderId="1" xfId="4" applyFont="1" applyFill="1" applyBorder="1" applyAlignment="1">
      <alignment horizontal="center"/>
    </xf>
    <xf numFmtId="166" fontId="9" fillId="7" borderId="2" xfId="3" applyNumberFormat="1" applyFont="1" applyFill="1" applyBorder="1" applyAlignment="1">
      <alignment horizontal="center"/>
    </xf>
    <xf numFmtId="166" fontId="9" fillId="7" borderId="3" xfId="3" applyNumberFormat="1" applyFont="1" applyFill="1" applyBorder="1" applyAlignment="1">
      <alignment horizontal="center"/>
    </xf>
    <xf numFmtId="166" fontId="9" fillId="8" borderId="2" xfId="3" applyNumberFormat="1" applyFont="1" applyFill="1" applyBorder="1" applyAlignment="1">
      <alignment horizontal="left"/>
    </xf>
    <xf numFmtId="166" fontId="9" fillId="8" borderId="3" xfId="3" applyNumberFormat="1" applyFont="1" applyFill="1" applyBorder="1" applyAlignment="1">
      <alignment horizontal="center"/>
    </xf>
    <xf numFmtId="0" fontId="9" fillId="8" borderId="1" xfId="4" applyFont="1" applyFill="1" applyBorder="1" applyAlignment="1">
      <alignment horizontal="center"/>
    </xf>
    <xf numFmtId="9" fontId="0" fillId="0" borderId="0" xfId="0" applyNumberFormat="1" applyFont="1"/>
    <xf numFmtId="10" fontId="2" fillId="6" borderId="1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center" vertical="center"/>
    </xf>
    <xf numFmtId="44" fontId="2" fillId="2" borderId="0" xfId="1" applyFont="1" applyFill="1" applyBorder="1" applyAlignment="1" applyProtection="1">
      <alignment horizontal="center" vertical="center" wrapText="1"/>
      <protection hidden="1"/>
    </xf>
    <xf numFmtId="10" fontId="2" fillId="6" borderId="1" xfId="1" applyNumberFormat="1" applyFont="1" applyFill="1" applyBorder="1" applyAlignment="1" applyProtection="1">
      <alignment horizontal="center" vertical="center"/>
      <protection hidden="1"/>
    </xf>
    <xf numFmtId="10" fontId="2" fillId="4" borderId="1" xfId="2" applyNumberFormat="1" applyFont="1" applyFill="1" applyBorder="1" applyAlignment="1" applyProtection="1">
      <alignment horizontal="center" vertical="center"/>
      <protection hidden="1"/>
    </xf>
    <xf numFmtId="44" fontId="2" fillId="8" borderId="1" xfId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0" fontId="7" fillId="0" borderId="1" xfId="2" applyNumberFormat="1" applyFont="1" applyBorder="1"/>
    <xf numFmtId="10" fontId="2" fillId="6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/>
    <xf numFmtId="0" fontId="0" fillId="0" borderId="0" xfId="0" applyFont="1" applyFill="1"/>
    <xf numFmtId="166" fontId="9" fillId="0" borderId="2" xfId="3" applyNumberFormat="1" applyFont="1" applyFill="1" applyBorder="1" applyAlignment="1">
      <alignment horizontal="center"/>
    </xf>
    <xf numFmtId="166" fontId="9" fillId="0" borderId="3" xfId="3" applyNumberFormat="1" applyFont="1" applyFill="1" applyBorder="1" applyAlignment="1">
      <alignment horizontal="center"/>
    </xf>
    <xf numFmtId="166" fontId="9" fillId="0" borderId="2" xfId="3" applyNumberFormat="1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left" vertical="center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44" fontId="2" fillId="0" borderId="0" xfId="1" applyFont="1" applyFill="1" applyBorder="1" applyAlignment="1" applyProtection="1">
      <alignment horizontal="center" vertical="center" wrapText="1"/>
      <protection hidden="1"/>
    </xf>
    <xf numFmtId="0" fontId="9" fillId="0" borderId="1" xfId="4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center" vertical="center"/>
      <protection hidden="1"/>
    </xf>
    <xf numFmtId="10" fontId="0" fillId="0" borderId="0" xfId="2" applyNumberFormat="1" applyFont="1" applyFill="1"/>
    <xf numFmtId="10" fontId="2" fillId="0" borderId="1" xfId="2" applyNumberFormat="1" applyFont="1" applyFill="1" applyBorder="1" applyAlignment="1" applyProtection="1">
      <alignment horizontal="center" vertical="center"/>
      <protection hidden="1"/>
    </xf>
    <xf numFmtId="44" fontId="0" fillId="0" borderId="0" xfId="0" applyNumberFormat="1" applyFont="1" applyFill="1"/>
    <xf numFmtId="0" fontId="3" fillId="0" borderId="1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10" fontId="4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/>
    <xf numFmtId="44" fontId="0" fillId="0" borderId="1" xfId="0" applyNumberFormat="1" applyFont="1" applyFill="1" applyBorder="1"/>
    <xf numFmtId="9" fontId="0" fillId="0" borderId="0" xfId="0" applyNumberFormat="1" applyFont="1" applyFill="1"/>
    <xf numFmtId="10" fontId="0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2" fontId="0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44" fontId="0" fillId="0" borderId="1" xfId="1" applyFont="1" applyFill="1" applyBorder="1" applyAlignment="1" applyProtection="1">
      <alignment horizontal="center" vertical="center"/>
      <protection hidden="1"/>
    </xf>
    <xf numFmtId="10" fontId="2" fillId="0" borderId="1" xfId="2" applyNumberFormat="1" applyFont="1" applyFill="1" applyBorder="1" applyAlignment="1" applyProtection="1">
      <alignment horizontal="center" vertical="center" wrapText="1"/>
      <protection hidden="1"/>
    </xf>
    <xf numFmtId="1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/>
    <xf numFmtId="10" fontId="7" fillId="0" borderId="1" xfId="2" applyNumberFormat="1" applyFont="1" applyFill="1" applyBorder="1"/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left" vertical="center"/>
      <protection hidden="1"/>
    </xf>
    <xf numFmtId="1" fontId="2" fillId="9" borderId="1" xfId="0" applyNumberFormat="1" applyFont="1" applyFill="1" applyBorder="1" applyAlignment="1" applyProtection="1">
      <alignment horizontal="center" vertical="center"/>
      <protection hidden="1"/>
    </xf>
    <xf numFmtId="44" fontId="2" fillId="9" borderId="1" xfId="1" applyFont="1" applyFill="1" applyBorder="1" applyAlignment="1" applyProtection="1">
      <alignment horizontal="center" vertical="center" wrapText="1"/>
      <protection hidden="1"/>
    </xf>
    <xf numFmtId="0" fontId="0" fillId="10" borderId="0" xfId="0" applyFont="1" applyFill="1"/>
    <xf numFmtId="0" fontId="0" fillId="5" borderId="0" xfId="0" applyFont="1" applyFill="1"/>
    <xf numFmtId="2" fontId="3" fillId="5" borderId="1" xfId="0" applyNumberFormat="1" applyFont="1" applyFill="1" applyBorder="1" applyAlignment="1" applyProtection="1">
      <alignment horizontal="center" vertical="center"/>
      <protection hidden="1"/>
    </xf>
    <xf numFmtId="2" fontId="4" fillId="5" borderId="1" xfId="0" applyNumberFormat="1" applyFont="1" applyFill="1" applyBorder="1" applyAlignment="1" applyProtection="1">
      <alignment horizontal="center" vertical="center"/>
      <protection hidden="1"/>
    </xf>
    <xf numFmtId="2" fontId="3" fillId="5" borderId="1" xfId="0" applyNumberFormat="1" applyFont="1" applyFill="1" applyBorder="1" applyAlignment="1">
      <alignment horizontal="center" vertical="center"/>
    </xf>
    <xf numFmtId="2" fontId="0" fillId="5" borderId="1" xfId="0" applyNumberFormat="1" applyFont="1" applyFill="1" applyBorder="1" applyAlignment="1" applyProtection="1">
      <alignment horizontal="center" vertical="center"/>
      <protection hidden="1"/>
    </xf>
    <xf numFmtId="10" fontId="0" fillId="11" borderId="1" xfId="0" applyNumberFormat="1" applyFont="1" applyFill="1" applyBorder="1" applyAlignment="1">
      <alignment horizontal="center" vertical="center"/>
    </xf>
    <xf numFmtId="44" fontId="3" fillId="8" borderId="1" xfId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4" xfId="0" applyNumberFormat="1" applyFont="1" applyFill="1" applyBorder="1" applyAlignment="1" applyProtection="1">
      <alignment horizontal="center" vertical="center"/>
      <protection hidden="1"/>
    </xf>
    <xf numFmtId="2" fontId="4" fillId="0" borderId="4" xfId="0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44" fontId="2" fillId="5" borderId="1" xfId="1" applyFont="1" applyFill="1" applyBorder="1" applyAlignment="1" applyProtection="1">
      <alignment horizontal="center" vertical="center"/>
      <protection hidden="1"/>
    </xf>
    <xf numFmtId="44" fontId="2" fillId="5" borderId="1" xfId="1" applyFont="1" applyFill="1" applyBorder="1" applyAlignment="1" applyProtection="1">
      <alignment horizontal="center" vertical="center" wrapText="1"/>
      <protection hidden="1"/>
    </xf>
    <xf numFmtId="10" fontId="2" fillId="5" borderId="1" xfId="1" applyNumberFormat="1" applyFont="1" applyFill="1" applyBorder="1" applyAlignment="1" applyProtection="1">
      <alignment horizontal="center" vertical="center"/>
      <protection hidden="1"/>
    </xf>
    <xf numFmtId="44" fontId="0" fillId="5" borderId="1" xfId="0" applyNumberFormat="1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0" fillId="3" borderId="4" xfId="0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0" fillId="12" borderId="7" xfId="0" applyFill="1" applyBorder="1"/>
    <xf numFmtId="0" fontId="0" fillId="12" borderId="7" xfId="0" applyFill="1" applyBorder="1" applyAlignment="1">
      <alignment wrapText="1"/>
    </xf>
    <xf numFmtId="0" fontId="0" fillId="0" borderId="0" xfId="0" applyFont="1" applyAlignment="1">
      <alignment wrapText="1"/>
    </xf>
    <xf numFmtId="16" fontId="0" fillId="0" borderId="0" xfId="0" applyNumberFormat="1" applyFont="1"/>
    <xf numFmtId="2" fontId="0" fillId="0" borderId="0" xfId="0" applyNumberFormat="1" applyFont="1"/>
    <xf numFmtId="0" fontId="0" fillId="0" borderId="0" xfId="0" applyFont="1" applyFill="1" applyBorder="1"/>
    <xf numFmtId="0" fontId="0" fillId="12" borderId="5" xfId="0" applyFill="1" applyBorder="1"/>
    <xf numFmtId="0" fontId="0" fillId="12" borderId="8" xfId="0" applyFill="1" applyBorder="1"/>
    <xf numFmtId="0" fontId="0" fillId="12" borderId="6" xfId="0" applyFill="1" applyBorder="1"/>
    <xf numFmtId="2" fontId="13" fillId="12" borderId="7" xfId="0" applyNumberFormat="1" applyFont="1" applyFill="1" applyBorder="1"/>
    <xf numFmtId="0" fontId="0" fillId="0" borderId="0" xfId="0" applyNumberFormat="1" applyFont="1"/>
    <xf numFmtId="0" fontId="14" fillId="13" borderId="0" xfId="0" applyNumberFormat="1" applyFont="1" applyFill="1"/>
    <xf numFmtId="0" fontId="0" fillId="0" borderId="0" xfId="0" applyNumberFormat="1" applyFont="1" applyAlignment="1">
      <alignment horizontal="left"/>
    </xf>
    <xf numFmtId="44" fontId="0" fillId="0" borderId="0" xfId="2" applyNumberFormat="1" applyFont="1"/>
    <xf numFmtId="0" fontId="16" fillId="0" borderId="0" xfId="0" applyFont="1" applyAlignment="1">
      <alignment horizontal="left" vertical="center" wrapText="1" indent="2"/>
    </xf>
    <xf numFmtId="0" fontId="10" fillId="0" borderId="0" xfId="5" applyAlignment="1" applyProtection="1">
      <alignment wrapText="1"/>
    </xf>
    <xf numFmtId="0" fontId="0" fillId="0" borderId="0" xfId="0" applyFont="1" applyFill="1" applyBorder="1" applyAlignment="1">
      <alignment wrapText="1"/>
    </xf>
    <xf numFmtId="10" fontId="0" fillId="14" borderId="1" xfId="0" applyNumberFormat="1" applyFont="1" applyFill="1" applyBorder="1"/>
    <xf numFmtId="44" fontId="0" fillId="14" borderId="1" xfId="0" applyNumberFormat="1" applyFont="1" applyFill="1" applyBorder="1"/>
    <xf numFmtId="44" fontId="2" fillId="14" borderId="1" xfId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/>
    <xf numFmtId="0" fontId="0" fillId="14" borderId="1" xfId="0" applyFont="1" applyFill="1" applyBorder="1"/>
    <xf numFmtId="9" fontId="0" fillId="0" borderId="1" xfId="0" applyNumberFormat="1" applyFont="1" applyBorder="1"/>
    <xf numFmtId="164" fontId="0" fillId="0" borderId="1" xfId="0" applyNumberFormat="1" applyFont="1" applyBorder="1"/>
    <xf numFmtId="9" fontId="0" fillId="14" borderId="1" xfId="0" applyNumberFormat="1" applyFont="1" applyFill="1" applyBorder="1"/>
    <xf numFmtId="10" fontId="3" fillId="14" borderId="1" xfId="2" applyNumberFormat="1" applyFont="1" applyFill="1" applyBorder="1" applyAlignment="1" applyProtection="1">
      <alignment horizontal="center" vertical="center"/>
      <protection hidden="1"/>
    </xf>
    <xf numFmtId="44" fontId="3" fillId="14" borderId="1" xfId="1" applyFont="1" applyFill="1" applyBorder="1" applyAlignment="1" applyProtection="1">
      <alignment horizontal="center" vertical="center"/>
      <protection hidden="1"/>
    </xf>
    <xf numFmtId="164" fontId="0" fillId="14" borderId="1" xfId="0" applyNumberFormat="1" applyFont="1" applyFill="1" applyBorder="1"/>
    <xf numFmtId="0" fontId="0" fillId="0" borderId="8" xfId="0" applyFont="1" applyBorder="1"/>
    <xf numFmtId="0" fontId="0" fillId="0" borderId="6" xfId="0" applyFont="1" applyBorder="1"/>
    <xf numFmtId="0" fontId="7" fillId="0" borderId="8" xfId="0" applyFont="1" applyBorder="1"/>
    <xf numFmtId="0" fontId="7" fillId="0" borderId="5" xfId="0" applyFont="1" applyBorder="1"/>
    <xf numFmtId="0" fontId="14" fillId="13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3" borderId="0" xfId="0" applyFill="1"/>
    <xf numFmtId="0" fontId="7" fillId="0" borderId="0" xfId="0" applyFont="1"/>
    <xf numFmtId="10" fontId="0" fillId="8" borderId="1" xfId="0" applyNumberFormat="1" applyFont="1" applyFill="1" applyBorder="1" applyAlignment="1">
      <alignment horizontal="center" vertical="center"/>
    </xf>
    <xf numFmtId="2" fontId="3" fillId="10" borderId="1" xfId="0" applyNumberFormat="1" applyFont="1" applyFill="1" applyBorder="1" applyAlignment="1" applyProtection="1">
      <alignment horizontal="center" vertical="center"/>
      <protection hidden="1"/>
    </xf>
    <xf numFmtId="44" fontId="3" fillId="10" borderId="1" xfId="1" applyFont="1" applyFill="1" applyBorder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2" fontId="4" fillId="10" borderId="1" xfId="0" applyNumberFormat="1" applyFont="1" applyFill="1" applyBorder="1" applyAlignment="1" applyProtection="1">
      <alignment horizontal="center" vertical="center"/>
      <protection hidden="1"/>
    </xf>
    <xf numFmtId="2" fontId="4" fillId="10" borderId="4" xfId="0" applyNumberFormat="1" applyFont="1" applyFill="1" applyBorder="1" applyAlignment="1" applyProtection="1">
      <alignment horizontal="center" vertical="center"/>
      <protection hidden="1"/>
    </xf>
    <xf numFmtId="0" fontId="15" fillId="10" borderId="0" xfId="0" applyNumberFormat="1" applyFont="1" applyFill="1" applyAlignment="1"/>
    <xf numFmtId="0" fontId="0" fillId="10" borderId="0" xfId="0" applyNumberFormat="1" applyFont="1" applyFill="1"/>
    <xf numFmtId="0" fontId="0" fillId="10" borderId="0" xfId="0" applyNumberFormat="1" applyFont="1" applyFill="1" applyAlignment="1"/>
    <xf numFmtId="0" fontId="0" fillId="0" borderId="0" xfId="0" applyNumberFormat="1" applyFont="1" applyFill="1"/>
    <xf numFmtId="0" fontId="0" fillId="0" borderId="0" xfId="0" applyNumberFormat="1" applyFont="1" applyFill="1" applyAlignment="1">
      <alignment wrapText="1"/>
    </xf>
    <xf numFmtId="2" fontId="0" fillId="0" borderId="0" xfId="0" applyNumberFormat="1" applyFont="1" applyFill="1"/>
    <xf numFmtId="0" fontId="0" fillId="3" borderId="0" xfId="0" applyNumberFormat="1" applyFont="1" applyFill="1"/>
    <xf numFmtId="2" fontId="0" fillId="3" borderId="0" xfId="0" applyNumberFormat="1" applyFont="1" applyFill="1"/>
    <xf numFmtId="0" fontId="0" fillId="3" borderId="0" xfId="0" applyNumberFormat="1" applyFont="1" applyFill="1" applyAlignment="1">
      <alignment horizontal="left"/>
    </xf>
    <xf numFmtId="0" fontId="17" fillId="13" borderId="0" xfId="0" applyNumberFormat="1" applyFont="1" applyFill="1"/>
    <xf numFmtId="0" fontId="0" fillId="3" borderId="0" xfId="0" applyNumberFormat="1" applyFont="1" applyFill="1" applyAlignment="1">
      <alignment wrapText="1"/>
    </xf>
    <xf numFmtId="164" fontId="0" fillId="15" borderId="1" xfId="0" applyNumberFormat="1" applyFont="1" applyFill="1" applyBorder="1"/>
    <xf numFmtId="10" fontId="0" fillId="15" borderId="1" xfId="0" applyNumberFormat="1" applyFont="1" applyFill="1" applyBorder="1"/>
    <xf numFmtId="0" fontId="7" fillId="0" borderId="7" xfId="0" applyFont="1" applyBorder="1"/>
    <xf numFmtId="0" fontId="0" fillId="0" borderId="4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>
      <alignment horizontal="center"/>
    </xf>
    <xf numFmtId="166" fontId="9" fillId="7" borderId="2" xfId="3" applyNumberFormat="1" applyFont="1" applyFill="1" applyBorder="1" applyAlignment="1">
      <alignment horizontal="center"/>
    </xf>
    <xf numFmtId="166" fontId="9" fillId="7" borderId="3" xfId="3" applyNumberFormat="1" applyFont="1" applyFill="1" applyBorder="1" applyAlignment="1">
      <alignment horizontal="center"/>
    </xf>
    <xf numFmtId="10" fontId="0" fillId="7" borderId="1" xfId="0" applyNumberFormat="1" applyFont="1" applyFill="1" applyBorder="1" applyAlignment="1">
      <alignment horizontal="center" vertical="center"/>
    </xf>
    <xf numFmtId="10" fontId="0" fillId="7" borderId="0" xfId="2" applyNumberFormat="1" applyFont="1" applyFill="1"/>
    <xf numFmtId="44" fontId="0" fillId="7" borderId="0" xfId="0" applyNumberFormat="1" applyFont="1" applyFill="1"/>
    <xf numFmtId="44" fontId="2" fillId="7" borderId="1" xfId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/>
    <xf numFmtId="0" fontId="18" fillId="0" borderId="0" xfId="0" applyNumberFormat="1" applyFont="1"/>
    <xf numFmtId="0" fontId="0" fillId="0" borderId="0" xfId="0" applyNumberFormat="1" applyFont="1" applyAlignment="1">
      <alignment wrapText="1"/>
    </xf>
    <xf numFmtId="0" fontId="18" fillId="0" borderId="0" xfId="0" applyNumberFormat="1" applyFont="1" applyAlignment="1">
      <alignment wrapText="1"/>
    </xf>
    <xf numFmtId="0" fontId="17" fillId="13" borderId="0" xfId="0" applyNumberFormat="1" applyFont="1" applyFill="1"/>
    <xf numFmtId="0" fontId="18" fillId="3" borderId="0" xfId="0" applyNumberFormat="1" applyFont="1" applyFill="1"/>
    <xf numFmtId="0" fontId="0" fillId="3" borderId="0" xfId="0" applyNumberFormat="1" applyFont="1" applyFill="1"/>
    <xf numFmtId="0" fontId="14" fillId="13" borderId="0" xfId="0" applyNumberFormat="1" applyFont="1" applyFill="1"/>
    <xf numFmtId="0" fontId="15" fillId="0" borderId="0" xfId="0" applyNumberFormat="1" applyFont="1" applyAlignment="1">
      <alignment wrapText="1"/>
    </xf>
    <xf numFmtId="0" fontId="15" fillId="0" borderId="0" xfId="0" applyNumberFormat="1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Hiperlink" xfId="5" builtinId="8"/>
    <cellStyle name="Moeda" xfId="1" builtinId="4"/>
    <cellStyle name="Moeda 2" xfId="3"/>
    <cellStyle name="Normal" xfId="0" builtinId="0"/>
    <cellStyle name="Normal 2" xfId="4"/>
    <cellStyle name="Porcentagem" xfId="2" builtinId="5"/>
  </cellStyles>
  <dxfs count="109"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11.png"/><Relationship Id="rId21" Type="http://schemas.openxmlformats.org/officeDocument/2006/relationships/image" Target="../media/image49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2" Type="http://schemas.openxmlformats.org/officeDocument/2006/relationships/image" Target="../media/image1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1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6</xdr:col>
      <xdr:colOff>941908</xdr:colOff>
      <xdr:row>45</xdr:row>
      <xdr:rowOff>18810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7648575"/>
          <a:ext cx="8533333" cy="19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5</xdr:col>
      <xdr:colOff>253253</xdr:colOff>
      <xdr:row>61</xdr:row>
      <xdr:rowOff>171450</xdr:rowOff>
    </xdr:to>
    <xdr:pic>
      <xdr:nvPicPr>
        <xdr:cNvPr id="3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0125075"/>
          <a:ext cx="6625478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6</xdr:col>
      <xdr:colOff>894289</xdr:colOff>
      <xdr:row>67</xdr:row>
      <xdr:rowOff>104690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13173075"/>
          <a:ext cx="8485714" cy="6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6</xdr:col>
      <xdr:colOff>875242</xdr:colOff>
      <xdr:row>75</xdr:row>
      <xdr:rowOff>47452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5375" y="13935075"/>
          <a:ext cx="8466667" cy="13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6</xdr:col>
      <xdr:colOff>913337</xdr:colOff>
      <xdr:row>80</xdr:row>
      <xdr:rowOff>133286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375" y="17745075"/>
          <a:ext cx="8504762" cy="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6</xdr:col>
      <xdr:colOff>894289</xdr:colOff>
      <xdr:row>94</xdr:row>
      <xdr:rowOff>18738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" y="18316575"/>
          <a:ext cx="8485714" cy="2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6</xdr:col>
      <xdr:colOff>884765</xdr:colOff>
      <xdr:row>106</xdr:row>
      <xdr:rowOff>161667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5375" y="21174075"/>
          <a:ext cx="847619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6</xdr:col>
      <xdr:colOff>884765</xdr:colOff>
      <xdr:row>114</xdr:row>
      <xdr:rowOff>123690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5375" y="23650575"/>
          <a:ext cx="8476190" cy="10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6</xdr:col>
      <xdr:colOff>875242</xdr:colOff>
      <xdr:row>127</xdr:row>
      <xdr:rowOff>161667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5375" y="25174575"/>
          <a:ext cx="8466667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6</xdr:col>
      <xdr:colOff>1028700</xdr:colOff>
      <xdr:row>134</xdr:row>
      <xdr:rowOff>42083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5375" y="28222575"/>
          <a:ext cx="8620125" cy="2325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1</xdr:rowOff>
    </xdr:from>
    <xdr:to>
      <xdr:col>6</xdr:col>
      <xdr:colOff>1085850</xdr:colOff>
      <xdr:row>132</xdr:row>
      <xdr:rowOff>128127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5375" y="27651076"/>
          <a:ext cx="8677275" cy="5091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6</xdr:col>
      <xdr:colOff>322861</xdr:colOff>
      <xdr:row>138</xdr:row>
      <xdr:rowOff>171405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95375" y="28984575"/>
          <a:ext cx="7914286" cy="3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6</xdr:col>
      <xdr:colOff>884765</xdr:colOff>
      <xdr:row>145</xdr:row>
      <xdr:rowOff>85643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95375" y="29937075"/>
          <a:ext cx="8476190" cy="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6</xdr:col>
      <xdr:colOff>903813</xdr:colOff>
      <xdr:row>151</xdr:row>
      <xdr:rowOff>18929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95375" y="30699075"/>
          <a:ext cx="8495238" cy="9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6</xdr:col>
      <xdr:colOff>884765</xdr:colOff>
      <xdr:row>156</xdr:row>
      <xdr:rowOff>9476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5375" y="32223075"/>
          <a:ext cx="8476190" cy="3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6</xdr:col>
      <xdr:colOff>875242</xdr:colOff>
      <xdr:row>163</xdr:row>
      <xdr:rowOff>180786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5375" y="32604075"/>
          <a:ext cx="8466667" cy="1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6</xdr:col>
      <xdr:colOff>884765</xdr:colOff>
      <xdr:row>173</xdr:row>
      <xdr:rowOff>85571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95375" y="34699575"/>
          <a:ext cx="8476190" cy="12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6</xdr:col>
      <xdr:colOff>875242</xdr:colOff>
      <xdr:row>179</xdr:row>
      <xdr:rowOff>114167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5375" y="36033075"/>
          <a:ext cx="8466667" cy="1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6</xdr:col>
      <xdr:colOff>932384</xdr:colOff>
      <xdr:row>199</xdr:row>
      <xdr:rowOff>37976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5375" y="39843075"/>
          <a:ext cx="8523809" cy="9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6</xdr:col>
      <xdr:colOff>913337</xdr:colOff>
      <xdr:row>200</xdr:row>
      <xdr:rowOff>190452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5375" y="40795575"/>
          <a:ext cx="8504762" cy="3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6</xdr:col>
      <xdr:colOff>903813</xdr:colOff>
      <xdr:row>213</xdr:row>
      <xdr:rowOff>18810</xdr:rowOff>
    </xdr:to>
    <xdr:pic>
      <xdr:nvPicPr>
        <xdr:cNvPr id="24" name="Imagem 2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5375" y="41557575"/>
          <a:ext cx="8495238" cy="19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6</xdr:col>
      <xdr:colOff>980003</xdr:colOff>
      <xdr:row>220</xdr:row>
      <xdr:rowOff>152286</xdr:rowOff>
    </xdr:to>
    <xdr:pic>
      <xdr:nvPicPr>
        <xdr:cNvPr id="25" name="Imagem 2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95375" y="44034075"/>
          <a:ext cx="8571428" cy="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6</xdr:col>
      <xdr:colOff>856194</xdr:colOff>
      <xdr:row>222</xdr:row>
      <xdr:rowOff>190452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95375" y="44986575"/>
          <a:ext cx="8447619" cy="3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6</xdr:col>
      <xdr:colOff>884765</xdr:colOff>
      <xdr:row>228</xdr:row>
      <xdr:rowOff>18976</xdr:rowOff>
    </xdr:to>
    <xdr:pic>
      <xdr:nvPicPr>
        <xdr:cNvPr id="27" name="Imagem 2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95375" y="45748575"/>
          <a:ext cx="8476190" cy="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6</xdr:col>
      <xdr:colOff>894289</xdr:colOff>
      <xdr:row>241</xdr:row>
      <xdr:rowOff>28262</xdr:rowOff>
    </xdr:to>
    <xdr:pic>
      <xdr:nvPicPr>
        <xdr:cNvPr id="28" name="Imagem 2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95375" y="46320075"/>
          <a:ext cx="8485714" cy="25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6</xdr:col>
      <xdr:colOff>903813</xdr:colOff>
      <xdr:row>252</xdr:row>
      <xdr:rowOff>190262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95375" y="49177575"/>
          <a:ext cx="8495238" cy="19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6</xdr:col>
      <xdr:colOff>903813</xdr:colOff>
      <xdr:row>260</xdr:row>
      <xdr:rowOff>18881</xdr:rowOff>
    </xdr:to>
    <xdr:pic>
      <xdr:nvPicPr>
        <xdr:cNvPr id="30" name="Imagem 2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95375" y="51082575"/>
          <a:ext cx="8495238" cy="1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6</xdr:col>
      <xdr:colOff>875242</xdr:colOff>
      <xdr:row>273</xdr:row>
      <xdr:rowOff>9286</xdr:rowOff>
    </xdr:to>
    <xdr:pic>
      <xdr:nvPicPr>
        <xdr:cNvPr id="31" name="Imagem 3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95375" y="52987575"/>
          <a:ext cx="8466667" cy="1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6</xdr:col>
      <xdr:colOff>894289</xdr:colOff>
      <xdr:row>278</xdr:row>
      <xdr:rowOff>142786</xdr:rowOff>
    </xdr:to>
    <xdr:pic>
      <xdr:nvPicPr>
        <xdr:cNvPr id="32" name="Imagem 3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95375" y="55273575"/>
          <a:ext cx="8485714" cy="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6</xdr:col>
      <xdr:colOff>894289</xdr:colOff>
      <xdr:row>287</xdr:row>
      <xdr:rowOff>114095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95375" y="56035575"/>
          <a:ext cx="8485714" cy="1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6</xdr:col>
      <xdr:colOff>884765</xdr:colOff>
      <xdr:row>329</xdr:row>
      <xdr:rowOff>171333</xdr:rowOff>
    </xdr:to>
    <xdr:pic>
      <xdr:nvPicPr>
        <xdr:cNvPr id="34" name="Imagem 3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5375" y="66884550"/>
          <a:ext cx="8476190" cy="9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6</xdr:col>
      <xdr:colOff>884765</xdr:colOff>
      <xdr:row>332</xdr:row>
      <xdr:rowOff>114238</xdr:rowOff>
    </xdr:to>
    <xdr:pic>
      <xdr:nvPicPr>
        <xdr:cNvPr id="35" name="Imagem 3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95375" y="67837050"/>
          <a:ext cx="8476190" cy="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5</xdr:col>
      <xdr:colOff>253253</xdr:colOff>
      <xdr:row>61</xdr:row>
      <xdr:rowOff>171450</xdr:rowOff>
    </xdr:to>
    <xdr:pic>
      <xdr:nvPicPr>
        <xdr:cNvPr id="3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2030075"/>
          <a:ext cx="6625478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6</xdr:col>
      <xdr:colOff>1028700</xdr:colOff>
      <xdr:row>134</xdr:row>
      <xdr:rowOff>42083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" y="28222575"/>
          <a:ext cx="8620125" cy="2325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1</xdr:rowOff>
    </xdr:from>
    <xdr:to>
      <xdr:col>6</xdr:col>
      <xdr:colOff>1085850</xdr:colOff>
      <xdr:row>132</xdr:row>
      <xdr:rowOff>128127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27651076"/>
          <a:ext cx="8677275" cy="5091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6</xdr:col>
      <xdr:colOff>322861</xdr:colOff>
      <xdr:row>138</xdr:row>
      <xdr:rowOff>171405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5375" y="28984575"/>
          <a:ext cx="7914286" cy="3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6</xdr:col>
      <xdr:colOff>884765</xdr:colOff>
      <xdr:row>45</xdr:row>
      <xdr:rowOff>37857</xdr:rowOff>
    </xdr:to>
    <xdr:pic>
      <xdr:nvPicPr>
        <xdr:cNvPr id="34" name="Imagem 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375" y="9553575"/>
          <a:ext cx="8476190" cy="1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6</xdr:col>
      <xdr:colOff>846670</xdr:colOff>
      <xdr:row>67</xdr:row>
      <xdr:rowOff>85643</xdr:rowOff>
    </xdr:to>
    <xdr:pic>
      <xdr:nvPicPr>
        <xdr:cNvPr id="35" name="Imagem 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" y="15078075"/>
          <a:ext cx="8438095" cy="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6</xdr:col>
      <xdr:colOff>875242</xdr:colOff>
      <xdr:row>75</xdr:row>
      <xdr:rowOff>37929</xdr:rowOff>
    </xdr:to>
    <xdr:pic>
      <xdr:nvPicPr>
        <xdr:cNvPr id="36" name="Imagem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5375" y="15840075"/>
          <a:ext cx="8466667" cy="1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6</xdr:col>
      <xdr:colOff>903813</xdr:colOff>
      <xdr:row>80</xdr:row>
      <xdr:rowOff>152333</xdr:rowOff>
    </xdr:to>
    <xdr:pic>
      <xdr:nvPicPr>
        <xdr:cNvPr id="37" name="Imagem 3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5375" y="17745075"/>
          <a:ext cx="8495238" cy="5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6</xdr:col>
      <xdr:colOff>884765</xdr:colOff>
      <xdr:row>93</xdr:row>
      <xdr:rowOff>180667</xdr:rowOff>
    </xdr:to>
    <xdr:pic>
      <xdr:nvPicPr>
        <xdr:cNvPr id="38" name="Imagem 3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5375" y="18316575"/>
          <a:ext cx="8476190" cy="24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6</xdr:col>
      <xdr:colOff>913337</xdr:colOff>
      <xdr:row>101</xdr:row>
      <xdr:rowOff>123690</xdr:rowOff>
    </xdr:to>
    <xdr:pic>
      <xdr:nvPicPr>
        <xdr:cNvPr id="39" name="Imagem 3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5375" y="21174075"/>
          <a:ext cx="8504762" cy="10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6</xdr:col>
      <xdr:colOff>894289</xdr:colOff>
      <xdr:row>114</xdr:row>
      <xdr:rowOff>123690</xdr:rowOff>
    </xdr:to>
    <xdr:pic>
      <xdr:nvPicPr>
        <xdr:cNvPr id="40" name="Imagem 3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5375" y="23650575"/>
          <a:ext cx="8485714" cy="10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6</xdr:col>
      <xdr:colOff>884765</xdr:colOff>
      <xdr:row>127</xdr:row>
      <xdr:rowOff>152143</xdr:rowOff>
    </xdr:to>
    <xdr:pic>
      <xdr:nvPicPr>
        <xdr:cNvPr id="41" name="Imagem 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95375" y="25174575"/>
          <a:ext cx="8476190" cy="2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6</xdr:col>
      <xdr:colOff>865718</xdr:colOff>
      <xdr:row>145</xdr:row>
      <xdr:rowOff>95167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95375" y="29937075"/>
          <a:ext cx="8457143" cy="6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6</xdr:col>
      <xdr:colOff>865718</xdr:colOff>
      <xdr:row>150</xdr:row>
      <xdr:rowOff>171333</xdr:rowOff>
    </xdr:to>
    <xdr:pic>
      <xdr:nvPicPr>
        <xdr:cNvPr id="43" name="Imagem 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95375" y="30699075"/>
          <a:ext cx="8457143" cy="9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6</xdr:col>
      <xdr:colOff>875242</xdr:colOff>
      <xdr:row>155</xdr:row>
      <xdr:rowOff>171405</xdr:rowOff>
    </xdr:to>
    <xdr:pic>
      <xdr:nvPicPr>
        <xdr:cNvPr id="44" name="Imagem 4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5375" y="32223075"/>
          <a:ext cx="8466667" cy="3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6</xdr:col>
      <xdr:colOff>884765</xdr:colOff>
      <xdr:row>163</xdr:row>
      <xdr:rowOff>171262</xdr:rowOff>
    </xdr:to>
    <xdr:pic>
      <xdr:nvPicPr>
        <xdr:cNvPr id="45" name="Imagem 4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5375" y="32604075"/>
          <a:ext cx="8476190" cy="15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6</xdr:col>
      <xdr:colOff>903813</xdr:colOff>
      <xdr:row>173</xdr:row>
      <xdr:rowOff>47476</xdr:rowOff>
    </xdr:to>
    <xdr:pic>
      <xdr:nvPicPr>
        <xdr:cNvPr id="46" name="Imagem 4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95375" y="34699575"/>
          <a:ext cx="8495238" cy="11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6</xdr:col>
      <xdr:colOff>894289</xdr:colOff>
      <xdr:row>179</xdr:row>
      <xdr:rowOff>104643</xdr:rowOff>
    </xdr:to>
    <xdr:pic>
      <xdr:nvPicPr>
        <xdr:cNvPr id="47" name="Imagem 4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5375" y="36033075"/>
          <a:ext cx="8485714" cy="1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6</xdr:col>
      <xdr:colOff>894289</xdr:colOff>
      <xdr:row>198</xdr:row>
      <xdr:rowOff>190381</xdr:rowOff>
    </xdr:to>
    <xdr:pic>
      <xdr:nvPicPr>
        <xdr:cNvPr id="48" name="Imagem 4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5375" y="39843075"/>
          <a:ext cx="8485714" cy="9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6</xdr:col>
      <xdr:colOff>884765</xdr:colOff>
      <xdr:row>201</xdr:row>
      <xdr:rowOff>9476</xdr:rowOff>
    </xdr:to>
    <xdr:pic>
      <xdr:nvPicPr>
        <xdr:cNvPr id="49" name="Imagem 4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5375" y="40795575"/>
          <a:ext cx="8476190" cy="3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6</xdr:col>
      <xdr:colOff>865718</xdr:colOff>
      <xdr:row>213</xdr:row>
      <xdr:rowOff>18810</xdr:rowOff>
    </xdr:to>
    <xdr:pic>
      <xdr:nvPicPr>
        <xdr:cNvPr id="50" name="Imagem 4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5375" y="41557575"/>
          <a:ext cx="8457143" cy="19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6</xdr:col>
      <xdr:colOff>884765</xdr:colOff>
      <xdr:row>219</xdr:row>
      <xdr:rowOff>171357</xdr:rowOff>
    </xdr:to>
    <xdr:pic>
      <xdr:nvPicPr>
        <xdr:cNvPr id="51" name="Imagem 5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95375" y="44034075"/>
          <a:ext cx="8476190" cy="7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6</xdr:col>
      <xdr:colOff>894289</xdr:colOff>
      <xdr:row>221</xdr:row>
      <xdr:rowOff>161881</xdr:rowOff>
    </xdr:to>
    <xdr:pic>
      <xdr:nvPicPr>
        <xdr:cNvPr id="52" name="Imagem 5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95375" y="44796075"/>
          <a:ext cx="8485714" cy="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6</xdr:col>
      <xdr:colOff>875242</xdr:colOff>
      <xdr:row>227</xdr:row>
      <xdr:rowOff>142810</xdr:rowOff>
    </xdr:to>
    <xdr:pic>
      <xdr:nvPicPr>
        <xdr:cNvPr id="53" name="Imagem 5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95375" y="45748575"/>
          <a:ext cx="8466667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6</xdr:col>
      <xdr:colOff>894289</xdr:colOff>
      <xdr:row>241</xdr:row>
      <xdr:rowOff>9214</xdr:rowOff>
    </xdr:to>
    <xdr:pic>
      <xdr:nvPicPr>
        <xdr:cNvPr id="54" name="Imagem 5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95375" y="46320075"/>
          <a:ext cx="8485714" cy="2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6</xdr:col>
      <xdr:colOff>894289</xdr:colOff>
      <xdr:row>253</xdr:row>
      <xdr:rowOff>9286</xdr:rowOff>
    </xdr:to>
    <xdr:pic>
      <xdr:nvPicPr>
        <xdr:cNvPr id="55" name="Imagem 5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95375" y="49177575"/>
          <a:ext cx="8485714" cy="1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6</xdr:col>
      <xdr:colOff>875242</xdr:colOff>
      <xdr:row>260</xdr:row>
      <xdr:rowOff>37929</xdr:rowOff>
    </xdr:to>
    <xdr:pic>
      <xdr:nvPicPr>
        <xdr:cNvPr id="56" name="Imagem 5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95375" y="51082575"/>
          <a:ext cx="8466667" cy="1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6</xdr:col>
      <xdr:colOff>884765</xdr:colOff>
      <xdr:row>273</xdr:row>
      <xdr:rowOff>28333</xdr:rowOff>
    </xdr:to>
    <xdr:pic>
      <xdr:nvPicPr>
        <xdr:cNvPr id="57" name="Imagem 5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95375" y="52987575"/>
          <a:ext cx="8476190" cy="19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6</xdr:col>
      <xdr:colOff>884765</xdr:colOff>
      <xdr:row>278</xdr:row>
      <xdr:rowOff>104690</xdr:rowOff>
    </xdr:to>
    <xdr:pic>
      <xdr:nvPicPr>
        <xdr:cNvPr id="58" name="Imagem 5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95375" y="55273575"/>
          <a:ext cx="8476190" cy="6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6</xdr:col>
      <xdr:colOff>875242</xdr:colOff>
      <xdr:row>287</xdr:row>
      <xdr:rowOff>114095</xdr:rowOff>
    </xdr:to>
    <xdr:pic>
      <xdr:nvPicPr>
        <xdr:cNvPr id="59" name="Imagem 5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95375" y="56035575"/>
          <a:ext cx="8466667" cy="1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6</xdr:col>
      <xdr:colOff>865718</xdr:colOff>
      <xdr:row>326</xdr:row>
      <xdr:rowOff>57119</xdr:rowOff>
    </xdr:to>
    <xdr:pic>
      <xdr:nvPicPr>
        <xdr:cNvPr id="62" name="Imagem 6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5375" y="66884550"/>
          <a:ext cx="8457143" cy="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6</xdr:col>
      <xdr:colOff>913337</xdr:colOff>
      <xdr:row>333</xdr:row>
      <xdr:rowOff>66524</xdr:rowOff>
    </xdr:to>
    <xdr:pic>
      <xdr:nvPicPr>
        <xdr:cNvPr id="63" name="Imagem 6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95375" y="67265550"/>
          <a:ext cx="8504762" cy="1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andre.com.br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3"/>
  <sheetViews>
    <sheetView zoomScale="85" zoomScaleNormal="85" workbookViewId="0">
      <pane xSplit="3" ySplit="5" topLeftCell="F35" activePane="bottomRight" state="frozen"/>
      <selection pane="topRight" activeCell="E1" sqref="E1"/>
      <selection pane="bottomLeft" activeCell="A3" sqref="A3"/>
      <selection pane="bottomRight" activeCell="L41" sqref="L41"/>
    </sheetView>
  </sheetViews>
  <sheetFormatPr defaultRowHeight="15" outlineLevelRow="1" x14ac:dyDescent="0.25"/>
  <cols>
    <col min="1" max="1" width="6.7109375" style="3" bestFit="1" customWidth="1"/>
    <col min="2" max="2" width="17.28515625" style="138" customWidth="1"/>
    <col min="3" max="3" width="69.28515625" style="3" customWidth="1"/>
    <col min="4" max="4" width="11.140625" style="3" bestFit="1" customWidth="1"/>
    <col min="5" max="5" width="16" style="3" bestFit="1" customWidth="1"/>
    <col min="6" max="7" width="16" style="3" customWidth="1"/>
    <col min="8" max="8" width="13.42578125" style="3" customWidth="1"/>
    <col min="9" max="9" width="15.7109375" style="3" customWidth="1"/>
    <col min="10" max="10" width="9.140625" style="3"/>
    <col min="11" max="11" width="13.5703125" style="3" customWidth="1"/>
    <col min="12" max="12" width="13.85546875" style="3" customWidth="1"/>
    <col min="13" max="13" width="15.85546875" style="3" customWidth="1"/>
    <col min="14" max="14" width="2.7109375" style="3" customWidth="1"/>
    <col min="15" max="15" width="7.140625" style="3" bestFit="1" customWidth="1"/>
    <col min="16" max="16" width="20" style="3" customWidth="1"/>
    <col min="17" max="17" width="2.7109375" style="3" customWidth="1"/>
    <col min="18" max="18" width="12.28515625" style="3" customWidth="1"/>
    <col min="19" max="19" width="9.140625" style="3"/>
    <col min="20" max="20" width="13.85546875" style="3" bestFit="1" customWidth="1"/>
    <col min="21" max="21" width="9.140625" style="3"/>
    <col min="22" max="22" width="14.42578125" style="3" bestFit="1" customWidth="1"/>
    <col min="23" max="23" width="9.140625" style="3"/>
    <col min="24" max="24" width="13.85546875" style="3" bestFit="1" customWidth="1"/>
    <col min="25" max="25" width="9.140625" style="3"/>
    <col min="26" max="26" width="14.42578125" style="3" bestFit="1" customWidth="1"/>
    <col min="27" max="27" width="3.42578125" style="3" customWidth="1"/>
    <col min="28" max="28" width="9.140625" style="3"/>
    <col min="29" max="29" width="13.85546875" style="3" bestFit="1" customWidth="1"/>
    <col min="30" max="30" width="11.7109375" style="3" bestFit="1" customWidth="1"/>
    <col min="31" max="16384" width="9.140625" style="3"/>
  </cols>
  <sheetData>
    <row r="1" spans="1:30" ht="15.75" thickBot="1" x14ac:dyDescent="0.3"/>
    <row r="2" spans="1:30" ht="15.75" thickBot="1" x14ac:dyDescent="0.3">
      <c r="S2" s="134" t="s">
        <v>497</v>
      </c>
      <c r="T2" s="133"/>
      <c r="U2" s="131"/>
      <c r="V2" s="131"/>
      <c r="W2" s="131"/>
      <c r="X2" s="131"/>
      <c r="Y2" s="131"/>
      <c r="Z2" s="132"/>
    </row>
    <row r="4" spans="1:30" ht="15.75" thickBot="1" x14ac:dyDescent="0.3">
      <c r="S4" s="22" t="s">
        <v>395</v>
      </c>
      <c r="T4" s="23"/>
      <c r="U4" s="22" t="s">
        <v>396</v>
      </c>
      <c r="V4" s="23"/>
      <c r="W4" s="22" t="s">
        <v>397</v>
      </c>
      <c r="X4" s="23"/>
      <c r="Y4" s="22" t="s">
        <v>398</v>
      </c>
      <c r="Z4" s="23"/>
      <c r="AB4" s="24" t="s">
        <v>399</v>
      </c>
      <c r="AC4" s="25"/>
    </row>
    <row r="5" spans="1:30" ht="75.75" thickBot="1" x14ac:dyDescent="0.3">
      <c r="A5" s="1" t="s">
        <v>1</v>
      </c>
      <c r="B5" s="98" t="s">
        <v>2</v>
      </c>
      <c r="C5" s="100" t="s">
        <v>417</v>
      </c>
      <c r="D5" s="99" t="s">
        <v>4</v>
      </c>
      <c r="E5" s="2" t="s">
        <v>5</v>
      </c>
      <c r="F5" s="10" t="s">
        <v>247</v>
      </c>
      <c r="G5" s="10" t="s">
        <v>224</v>
      </c>
      <c r="H5" s="10" t="s">
        <v>226</v>
      </c>
      <c r="I5" s="10" t="s">
        <v>223</v>
      </c>
      <c r="J5" s="10" t="s">
        <v>225</v>
      </c>
      <c r="K5" s="10" t="s">
        <v>227</v>
      </c>
      <c r="L5" s="10" t="s">
        <v>228</v>
      </c>
      <c r="M5" s="10" t="s">
        <v>229</v>
      </c>
      <c r="P5" s="30" t="s">
        <v>403</v>
      </c>
      <c r="S5" s="21" t="s">
        <v>393</v>
      </c>
      <c r="T5" s="21" t="s">
        <v>394</v>
      </c>
      <c r="U5" s="21" t="s">
        <v>393</v>
      </c>
      <c r="V5" s="21" t="s">
        <v>394</v>
      </c>
      <c r="W5" s="21" t="s">
        <v>393</v>
      </c>
      <c r="X5" s="21" t="s">
        <v>394</v>
      </c>
      <c r="Y5" s="21" t="s">
        <v>393</v>
      </c>
      <c r="Z5" s="21" t="s">
        <v>394</v>
      </c>
      <c r="AB5" s="26" t="s">
        <v>393</v>
      </c>
      <c r="AC5" s="26" t="s">
        <v>394</v>
      </c>
    </row>
    <row r="7" spans="1:30" x14ac:dyDescent="0.25">
      <c r="A7" s="5" t="s">
        <v>419</v>
      </c>
      <c r="B7" s="5"/>
      <c r="C7" s="4" t="s">
        <v>420</v>
      </c>
      <c r="D7" s="5"/>
      <c r="E7" s="6"/>
      <c r="F7" s="6"/>
      <c r="G7" s="6"/>
      <c r="H7" s="7"/>
      <c r="I7" s="7"/>
      <c r="J7" s="7"/>
      <c r="K7" s="7"/>
      <c r="L7" s="7"/>
      <c r="M7" s="7">
        <f>SUM(M8:M12)</f>
        <v>27401.730000000003</v>
      </c>
      <c r="O7" s="20">
        <f>M7/$M$40</f>
        <v>5.2190087305456115E-2</v>
      </c>
      <c r="P7" s="20"/>
      <c r="S7" s="32">
        <f>T7/$M$40</f>
        <v>2.0438328677217565E-2</v>
      </c>
      <c r="T7" s="7">
        <f>SUM(T8:T12)</f>
        <v>10730.880000000001</v>
      </c>
      <c r="U7" s="32">
        <f>V7/$M$40</f>
        <v>1.0583919542746182E-2</v>
      </c>
      <c r="V7" s="7">
        <f>SUM(V8:V12)</f>
        <v>5556.9500000000007</v>
      </c>
      <c r="W7" s="32">
        <f>X7/$M$40</f>
        <v>1.0583919542746182E-2</v>
      </c>
      <c r="X7" s="7">
        <f>SUM(X8:X12)</f>
        <v>5556.9500000000007</v>
      </c>
      <c r="Y7" s="32">
        <f>Z7/$M$40</f>
        <v>1.0583919542746182E-2</v>
      </c>
      <c r="Z7" s="7">
        <f>SUM(Z8:Z12)</f>
        <v>5556.9500000000007</v>
      </c>
      <c r="AB7" s="4"/>
      <c r="AC7" s="11">
        <f t="shared" ref="AC7" si="0">SUM(T7,V7,X7,Z7)</f>
        <v>27401.730000000003</v>
      </c>
      <c r="AD7" s="3" t="str">
        <f t="shared" ref="AD7" si="1">IF(AC7=M7,"OK","VERIFICAR")</f>
        <v>OK</v>
      </c>
    </row>
    <row r="8" spans="1:30" outlineLevel="1" x14ac:dyDescent="0.25">
      <c r="A8" s="15" t="s">
        <v>7</v>
      </c>
      <c r="B8" s="15" t="s">
        <v>421</v>
      </c>
      <c r="C8" s="16" t="s">
        <v>422</v>
      </c>
      <c r="D8" s="147" t="s">
        <v>9</v>
      </c>
      <c r="E8" s="145">
        <v>2</v>
      </c>
      <c r="F8" s="146">
        <v>233.94</v>
      </c>
      <c r="G8" s="146">
        <v>0</v>
      </c>
      <c r="H8" s="12">
        <f>F8+G8</f>
        <v>233.94</v>
      </c>
      <c r="I8" s="12">
        <f t="shared" ref="I8" si="2">TRUNC(H8*E8,2)</f>
        <v>467.88</v>
      </c>
      <c r="J8" s="144">
        <v>0.27189999999999998</v>
      </c>
      <c r="K8" s="12">
        <f>TRUNC($E8*F8*(1+$J8),2)</f>
        <v>595.09</v>
      </c>
      <c r="L8" s="12">
        <f>TRUNC($E8*G8*(1+$J8),2)</f>
        <v>0</v>
      </c>
      <c r="M8" s="12">
        <f>L8+K8</f>
        <v>595.09</v>
      </c>
      <c r="O8" s="20"/>
      <c r="S8" s="125">
        <v>1</v>
      </c>
      <c r="T8" s="126">
        <f>S8*M8</f>
        <v>595.09</v>
      </c>
      <c r="U8" s="123"/>
      <c r="V8" s="123"/>
      <c r="W8" s="120">
        <v>0</v>
      </c>
      <c r="X8" s="121">
        <f>W8*$M8</f>
        <v>0</v>
      </c>
      <c r="Y8" s="120">
        <v>0</v>
      </c>
      <c r="Z8" s="121">
        <f>Y8*$M8</f>
        <v>0</v>
      </c>
      <c r="AB8" s="27">
        <f t="shared" ref="AB8:AB12" si="3">SUM(S8,U8,W8,Y8)</f>
        <v>1</v>
      </c>
      <c r="AC8" s="11">
        <f t="shared" ref="AC8:AC12" si="4">SUM(T8,V8,X8,Z8)</f>
        <v>595.09</v>
      </c>
      <c r="AD8" s="3" t="str">
        <f t="shared" ref="AD8:AD12" si="5">IF(AC8=M8,"OK","VERIFICAR")</f>
        <v>OK</v>
      </c>
    </row>
    <row r="9" spans="1:30" outlineLevel="1" x14ac:dyDescent="0.25">
      <c r="A9" s="15" t="s">
        <v>10</v>
      </c>
      <c r="B9" s="15" t="s">
        <v>498</v>
      </c>
      <c r="C9" s="16" t="s">
        <v>423</v>
      </c>
      <c r="D9" s="147" t="s">
        <v>424</v>
      </c>
      <c r="E9" s="145">
        <v>3</v>
      </c>
      <c r="F9" s="146">
        <v>272.70999999999998</v>
      </c>
      <c r="G9" s="146">
        <v>2526.65</v>
      </c>
      <c r="H9" s="12">
        <f t="shared" ref="H9:H12" si="6">F9+G9</f>
        <v>2799.36</v>
      </c>
      <c r="I9" s="12">
        <f t="shared" ref="I9:I11" si="7">TRUNC(H9*E9,2)</f>
        <v>8398.08</v>
      </c>
      <c r="J9" s="144">
        <v>0.27189999999999998</v>
      </c>
      <c r="K9" s="12">
        <f t="shared" ref="K9:K12" si="8">TRUNC($E9*F9*(1+$J9),2)</f>
        <v>1040.57</v>
      </c>
      <c r="L9" s="12">
        <f t="shared" ref="L9:L12" si="9">TRUNC($E9*G9*(1+$J9),2)</f>
        <v>9640.93</v>
      </c>
      <c r="M9" s="12">
        <f t="shared" ref="M9:M12" si="10">L9+K9</f>
        <v>10681.5</v>
      </c>
      <c r="O9" s="20"/>
      <c r="P9" s="20"/>
      <c r="S9" s="125">
        <v>0.25</v>
      </c>
      <c r="T9" s="126">
        <f>S9*M9</f>
        <v>2670.375</v>
      </c>
      <c r="U9" s="125">
        <v>0.25</v>
      </c>
      <c r="V9" s="126">
        <f>U9*M9</f>
        <v>2670.375</v>
      </c>
      <c r="W9" s="120">
        <v>0.25</v>
      </c>
      <c r="X9" s="121">
        <f t="shared" ref="X9:X12" si="11">W9*$M9</f>
        <v>2670.375</v>
      </c>
      <c r="Y9" s="120">
        <v>0.25</v>
      </c>
      <c r="Z9" s="121">
        <f t="shared" ref="Z9:Z12" si="12">Y9*$M9</f>
        <v>2670.375</v>
      </c>
      <c r="AB9" s="27">
        <f t="shared" si="3"/>
        <v>1</v>
      </c>
      <c r="AC9" s="11">
        <f t="shared" si="4"/>
        <v>10681.5</v>
      </c>
      <c r="AD9" s="3" t="str">
        <f t="shared" si="5"/>
        <v>OK</v>
      </c>
    </row>
    <row r="10" spans="1:30" ht="30" outlineLevel="1" x14ac:dyDescent="0.25">
      <c r="A10" s="15" t="s">
        <v>11</v>
      </c>
      <c r="B10" s="139" t="s">
        <v>513</v>
      </c>
      <c r="C10" s="16" t="s">
        <v>425</v>
      </c>
      <c r="D10" s="147" t="s">
        <v>9</v>
      </c>
      <c r="E10" s="145">
        <v>1</v>
      </c>
      <c r="F10" s="146">
        <v>0</v>
      </c>
      <c r="G10" s="146">
        <v>1800</v>
      </c>
      <c r="H10" s="12">
        <f t="shared" si="6"/>
        <v>1800</v>
      </c>
      <c r="I10" s="12">
        <f t="shared" si="7"/>
        <v>1800</v>
      </c>
      <c r="J10" s="144">
        <v>0.27189999999999998</v>
      </c>
      <c r="K10" s="12">
        <f t="shared" si="8"/>
        <v>0</v>
      </c>
      <c r="L10" s="12">
        <f t="shared" si="9"/>
        <v>2289.42</v>
      </c>
      <c r="M10" s="12">
        <f t="shared" si="10"/>
        <v>2289.42</v>
      </c>
      <c r="P10" s="20"/>
      <c r="S10" s="125">
        <v>1</v>
      </c>
      <c r="T10" s="126">
        <f>S10*M10</f>
        <v>2289.42</v>
      </c>
      <c r="U10" s="123"/>
      <c r="V10" s="123"/>
      <c r="W10" s="120">
        <v>0</v>
      </c>
      <c r="X10" s="121">
        <f t="shared" si="11"/>
        <v>0</v>
      </c>
      <c r="Y10" s="120">
        <v>0</v>
      </c>
      <c r="Z10" s="121">
        <f t="shared" si="12"/>
        <v>0</v>
      </c>
      <c r="AB10" s="27">
        <f t="shared" si="3"/>
        <v>1</v>
      </c>
      <c r="AC10" s="11">
        <f t="shared" si="4"/>
        <v>2289.42</v>
      </c>
      <c r="AD10" s="3" t="str">
        <f t="shared" si="5"/>
        <v>OK</v>
      </c>
    </row>
    <row r="11" spans="1:30" ht="30" outlineLevel="1" x14ac:dyDescent="0.25">
      <c r="A11" s="15" t="s">
        <v>13</v>
      </c>
      <c r="B11" s="139" t="s">
        <v>514</v>
      </c>
      <c r="C11" s="16" t="s">
        <v>426</v>
      </c>
      <c r="D11" s="147" t="s">
        <v>9</v>
      </c>
      <c r="E11" s="145">
        <v>1</v>
      </c>
      <c r="F11" s="146">
        <v>0</v>
      </c>
      <c r="G11" s="146">
        <v>1800</v>
      </c>
      <c r="H11" s="12">
        <f t="shared" si="6"/>
        <v>1800</v>
      </c>
      <c r="I11" s="12">
        <f t="shared" si="7"/>
        <v>1800</v>
      </c>
      <c r="J11" s="144">
        <v>0.27189999999999998</v>
      </c>
      <c r="K11" s="12">
        <f t="shared" si="8"/>
        <v>0</v>
      </c>
      <c r="L11" s="12">
        <f t="shared" si="9"/>
        <v>2289.42</v>
      </c>
      <c r="M11" s="12">
        <f t="shared" si="10"/>
        <v>2289.42</v>
      </c>
      <c r="S11" s="125">
        <v>1</v>
      </c>
      <c r="T11" s="126">
        <f>M11*S11</f>
        <v>2289.42</v>
      </c>
      <c r="U11" s="123"/>
      <c r="V11" s="123"/>
      <c r="W11" s="120">
        <v>0</v>
      </c>
      <c r="X11" s="121">
        <f t="shared" si="11"/>
        <v>0</v>
      </c>
      <c r="Y11" s="120">
        <v>0</v>
      </c>
      <c r="Z11" s="121">
        <f t="shared" si="12"/>
        <v>0</v>
      </c>
      <c r="AB11" s="27">
        <f t="shared" si="3"/>
        <v>1</v>
      </c>
      <c r="AC11" s="11">
        <f t="shared" si="4"/>
        <v>2289.42</v>
      </c>
      <c r="AD11" s="3" t="str">
        <f t="shared" si="5"/>
        <v>OK</v>
      </c>
    </row>
    <row r="12" spans="1:30" ht="30" outlineLevel="1" x14ac:dyDescent="0.25">
      <c r="A12" s="15" t="s">
        <v>15</v>
      </c>
      <c r="B12" s="15" t="s">
        <v>500</v>
      </c>
      <c r="C12" s="16" t="s">
        <v>472</v>
      </c>
      <c r="D12" s="147" t="s">
        <v>378</v>
      </c>
      <c r="E12" s="148">
        <f>2*5*4*3</f>
        <v>120</v>
      </c>
      <c r="F12" s="146">
        <v>1</v>
      </c>
      <c r="G12" s="146">
        <v>74.650000000000006</v>
      </c>
      <c r="H12" s="12">
        <f t="shared" si="6"/>
        <v>75.650000000000006</v>
      </c>
      <c r="I12" s="12">
        <f t="shared" ref="I12" si="13">TRUNC(H12*E12,2)</f>
        <v>9078</v>
      </c>
      <c r="J12" s="144">
        <v>0.27189999999999998</v>
      </c>
      <c r="K12" s="12">
        <f t="shared" si="8"/>
        <v>152.62</v>
      </c>
      <c r="L12" s="12">
        <f t="shared" si="9"/>
        <v>11393.68</v>
      </c>
      <c r="M12" s="12">
        <f t="shared" si="10"/>
        <v>11546.300000000001</v>
      </c>
      <c r="S12" s="125">
        <v>0.25</v>
      </c>
      <c r="T12" s="126">
        <f>S12*M12</f>
        <v>2886.5750000000003</v>
      </c>
      <c r="U12" s="125">
        <v>0.25</v>
      </c>
      <c r="V12" s="126">
        <f>M12*U12</f>
        <v>2886.5750000000003</v>
      </c>
      <c r="W12" s="120">
        <v>0.25</v>
      </c>
      <c r="X12" s="121">
        <f t="shared" si="11"/>
        <v>2886.5750000000003</v>
      </c>
      <c r="Y12" s="120">
        <v>0.25</v>
      </c>
      <c r="Z12" s="121">
        <f t="shared" si="12"/>
        <v>2886.5750000000003</v>
      </c>
      <c r="AB12" s="27">
        <f t="shared" si="3"/>
        <v>1</v>
      </c>
      <c r="AC12" s="11">
        <f t="shared" si="4"/>
        <v>11546.300000000001</v>
      </c>
      <c r="AD12" s="3" t="str">
        <f t="shared" si="5"/>
        <v>OK</v>
      </c>
    </row>
    <row r="13" spans="1:30" x14ac:dyDescent="0.25">
      <c r="C13" s="17"/>
      <c r="S13" s="123"/>
      <c r="T13" s="123"/>
      <c r="U13" s="123"/>
      <c r="V13" s="123"/>
      <c r="W13" s="123"/>
      <c r="X13" s="123"/>
      <c r="Y13" s="123"/>
      <c r="Z13" s="123"/>
    </row>
    <row r="14" spans="1:30" x14ac:dyDescent="0.25">
      <c r="A14" s="5" t="s">
        <v>427</v>
      </c>
      <c r="B14" s="5"/>
      <c r="C14" s="18" t="s">
        <v>551</v>
      </c>
      <c r="D14" s="5"/>
      <c r="E14" s="6"/>
      <c r="F14" s="6"/>
      <c r="G14" s="6"/>
      <c r="H14" s="7"/>
      <c r="I14" s="7"/>
      <c r="J14" s="7"/>
      <c r="K14" s="7"/>
      <c r="L14" s="7"/>
      <c r="M14" s="7">
        <f>SUM(M15:M23)</f>
        <v>11855.01</v>
      </c>
      <c r="O14" s="20">
        <f>M14/$M$40</f>
        <v>2.2579377539558826E-2</v>
      </c>
      <c r="P14" s="20"/>
      <c r="S14" s="32">
        <f>T14/$M$40</f>
        <v>1.3396835263400261E-2</v>
      </c>
      <c r="T14" s="7">
        <f>SUM(T15:T23)</f>
        <v>7033.8349999999991</v>
      </c>
      <c r="U14" s="32">
        <f>V14/$M$40</f>
        <v>3.4498421882828614E-3</v>
      </c>
      <c r="V14" s="7">
        <f>SUM(V15:V23)</f>
        <v>1811.2950000000001</v>
      </c>
      <c r="W14" s="32">
        <f>X14/$M$40</f>
        <v>3.1884701624681502E-3</v>
      </c>
      <c r="X14" s="7">
        <f>SUM(X15:X23)</f>
        <v>1674.0650000000001</v>
      </c>
      <c r="Y14" s="32">
        <f>Z14/$M$40</f>
        <v>2.5442299254075512E-3</v>
      </c>
      <c r="Z14" s="7">
        <f>SUM(Z15:Z23)</f>
        <v>1335.8150000000001</v>
      </c>
      <c r="AB14" s="27">
        <f t="shared" ref="AB14" si="14">SUM(S14,U14,W14,Y14)</f>
        <v>2.2579377539558822E-2</v>
      </c>
      <c r="AC14" s="11">
        <f t="shared" ref="AC14" si="15">SUM(T14,V14,X14,Z14)</f>
        <v>11855.01</v>
      </c>
      <c r="AD14" s="3" t="str">
        <f t="shared" ref="AD14" si="16">IF(AC14=M14,"OK","VERIFICAR")</f>
        <v>OK</v>
      </c>
    </row>
    <row r="15" spans="1:30" x14ac:dyDescent="0.25">
      <c r="A15" s="15" t="s">
        <v>37</v>
      </c>
      <c r="B15" s="15"/>
      <c r="C15" s="16" t="s">
        <v>429</v>
      </c>
      <c r="D15" s="148" t="s">
        <v>149</v>
      </c>
      <c r="E15" s="148">
        <v>2</v>
      </c>
      <c r="F15" s="146">
        <v>158.06</v>
      </c>
      <c r="G15" s="146">
        <v>187.92000000000002</v>
      </c>
      <c r="H15" s="12">
        <f>G15+F15</f>
        <v>345.98</v>
      </c>
      <c r="I15" s="12">
        <f>H15*E15</f>
        <v>691.96</v>
      </c>
      <c r="J15" s="144">
        <v>0.27189999999999998</v>
      </c>
      <c r="K15" s="12">
        <f t="shared" ref="K15:K22" si="17">TRUNC($E15*F15*(1+$J15),2)</f>
        <v>402.07</v>
      </c>
      <c r="L15" s="12">
        <f t="shared" ref="L15:L22" si="18">TRUNC($E15*G15*(1+$J15),2)</f>
        <v>478.03</v>
      </c>
      <c r="M15" s="12">
        <f t="shared" ref="M15:M22" si="19">L15+K15</f>
        <v>880.09999999999991</v>
      </c>
      <c r="O15" s="20"/>
      <c r="P15" s="116"/>
      <c r="S15" s="128">
        <v>0.5</v>
      </c>
      <c r="T15" s="129">
        <f>S15*M15</f>
        <v>440.04999999999995</v>
      </c>
      <c r="U15" s="128"/>
      <c r="V15" s="129"/>
      <c r="W15" s="128"/>
      <c r="X15" s="129"/>
      <c r="Y15" s="128">
        <v>0.5</v>
      </c>
      <c r="Z15" s="129">
        <f>Y15*M15</f>
        <v>440.04999999999995</v>
      </c>
      <c r="AB15" s="27">
        <f t="shared" ref="AB15:AB23" si="20">SUM(S15,U15,W15,Y15)</f>
        <v>1</v>
      </c>
      <c r="AC15" s="11">
        <f t="shared" ref="AC15:AC23" si="21">SUM(T15,V15,X15,Z15)</f>
        <v>880.09999999999991</v>
      </c>
    </row>
    <row r="16" spans="1:30" x14ac:dyDescent="0.25">
      <c r="A16" s="15" t="s">
        <v>39</v>
      </c>
      <c r="B16" s="15" t="s">
        <v>317</v>
      </c>
      <c r="C16" s="16" t="s">
        <v>509</v>
      </c>
      <c r="D16" s="148" t="s">
        <v>430</v>
      </c>
      <c r="E16" s="148">
        <f>17.54*2</f>
        <v>35.08</v>
      </c>
      <c r="F16" s="146">
        <f>53.49+0.01</f>
        <v>53.5</v>
      </c>
      <c r="G16" s="146">
        <v>9.36</v>
      </c>
      <c r="H16" s="12">
        <f t="shared" ref="H16" si="22">F16+G16</f>
        <v>62.86</v>
      </c>
      <c r="I16" s="12">
        <f t="shared" ref="I16" si="23">TRUNC(H16*E16,2)</f>
        <v>2205.12</v>
      </c>
      <c r="J16" s="144">
        <v>0.27189999999999998</v>
      </c>
      <c r="K16" s="12">
        <f t="shared" si="17"/>
        <v>2387.0700000000002</v>
      </c>
      <c r="L16" s="12">
        <f t="shared" si="18"/>
        <v>417.62</v>
      </c>
      <c r="M16" s="12">
        <f t="shared" si="19"/>
        <v>2804.69</v>
      </c>
      <c r="O16" s="20"/>
      <c r="P16" s="20"/>
      <c r="S16" s="128">
        <v>1</v>
      </c>
      <c r="T16" s="129">
        <f>S16*M16</f>
        <v>2804.69</v>
      </c>
      <c r="U16" s="128"/>
      <c r="V16" s="129"/>
      <c r="W16" s="128"/>
      <c r="X16" s="129"/>
      <c r="Y16" s="128"/>
      <c r="Z16" s="129"/>
      <c r="AB16" s="27">
        <f t="shared" si="20"/>
        <v>1</v>
      </c>
      <c r="AC16" s="11">
        <f t="shared" si="21"/>
        <v>2804.69</v>
      </c>
    </row>
    <row r="17" spans="1:30" ht="30" x14ac:dyDescent="0.25">
      <c r="A17" s="15" t="s">
        <v>41</v>
      </c>
      <c r="B17" s="15" t="s">
        <v>511</v>
      </c>
      <c r="C17" s="16" t="s">
        <v>510</v>
      </c>
      <c r="D17" s="148" t="s">
        <v>430</v>
      </c>
      <c r="E17" s="148">
        <f>17.54*2+(7+7)*2</f>
        <v>63.08</v>
      </c>
      <c r="F17" s="146">
        <v>0.51</v>
      </c>
      <c r="G17" s="146">
        <v>3.74</v>
      </c>
      <c r="H17" s="12">
        <f>F17+G17</f>
        <v>4.25</v>
      </c>
      <c r="I17" s="12">
        <f>H17*E17</f>
        <v>268.08999999999997</v>
      </c>
      <c r="J17" s="144">
        <v>0.27189999999999998</v>
      </c>
      <c r="K17" s="12">
        <f t="shared" si="17"/>
        <v>40.909999999999997</v>
      </c>
      <c r="L17" s="12">
        <f t="shared" si="18"/>
        <v>300.06</v>
      </c>
      <c r="M17" s="12">
        <f t="shared" si="19"/>
        <v>340.97</v>
      </c>
      <c r="O17" s="20"/>
      <c r="P17" s="20"/>
      <c r="S17" s="128"/>
      <c r="T17" s="129"/>
      <c r="U17" s="128"/>
      <c r="V17" s="129"/>
      <c r="W17" s="128"/>
      <c r="X17" s="129"/>
      <c r="Y17" s="128">
        <v>1</v>
      </c>
      <c r="Z17" s="129">
        <f>Y17*M17</f>
        <v>340.97</v>
      </c>
      <c r="AB17" s="27">
        <f t="shared" si="20"/>
        <v>1</v>
      </c>
      <c r="AC17" s="11">
        <f t="shared" si="21"/>
        <v>340.97</v>
      </c>
    </row>
    <row r="18" spans="1:30" ht="30" x14ac:dyDescent="0.25">
      <c r="A18" s="15" t="s">
        <v>43</v>
      </c>
      <c r="B18" s="15" t="s">
        <v>320</v>
      </c>
      <c r="C18" s="16" t="s">
        <v>213</v>
      </c>
      <c r="D18" s="148" t="s">
        <v>430</v>
      </c>
      <c r="E18" s="148">
        <f>44*0.5</f>
        <v>22</v>
      </c>
      <c r="F18" s="146">
        <v>2.96</v>
      </c>
      <c r="G18" s="146">
        <v>7.67</v>
      </c>
      <c r="H18" s="12">
        <f t="shared" ref="H18:H22" si="24">F18+G18</f>
        <v>10.629999999999999</v>
      </c>
      <c r="I18" s="12">
        <f>H18*E18</f>
        <v>233.85999999999999</v>
      </c>
      <c r="J18" s="144">
        <v>0.27189999999999998</v>
      </c>
      <c r="K18" s="12">
        <f t="shared" si="17"/>
        <v>82.82</v>
      </c>
      <c r="L18" s="12">
        <f t="shared" si="18"/>
        <v>214.62</v>
      </c>
      <c r="M18" s="12">
        <f t="shared" si="19"/>
        <v>297.44</v>
      </c>
      <c r="O18" s="20"/>
      <c r="P18" s="20"/>
      <c r="S18" s="128">
        <v>0.5</v>
      </c>
      <c r="T18" s="129">
        <f>S18*M18</f>
        <v>148.72</v>
      </c>
      <c r="U18" s="128">
        <v>0.5</v>
      </c>
      <c r="V18" s="129">
        <f>U18*M18</f>
        <v>148.72</v>
      </c>
      <c r="W18" s="128"/>
      <c r="X18" s="129"/>
      <c r="Y18" s="128"/>
      <c r="Z18" s="122"/>
      <c r="AB18" s="27">
        <f t="shared" si="20"/>
        <v>1</v>
      </c>
      <c r="AC18" s="11">
        <f t="shared" si="21"/>
        <v>297.44</v>
      </c>
    </row>
    <row r="19" spans="1:30" ht="30" x14ac:dyDescent="0.25">
      <c r="A19" s="101" t="s">
        <v>45</v>
      </c>
      <c r="B19" s="15" t="s">
        <v>512</v>
      </c>
      <c r="C19" s="16" t="s">
        <v>438</v>
      </c>
      <c r="D19" s="148" t="s">
        <v>437</v>
      </c>
      <c r="E19" s="148">
        <f>0.5*0.5*0.5*33</f>
        <v>4.125</v>
      </c>
      <c r="F19" s="146">
        <f>11.19+63.57</f>
        <v>74.760000000000005</v>
      </c>
      <c r="G19" s="146">
        <v>132.35</v>
      </c>
      <c r="H19" s="12">
        <f t="shared" si="24"/>
        <v>207.11</v>
      </c>
      <c r="I19" s="12">
        <f t="shared" ref="I19:I22" si="25">H19*E19</f>
        <v>854.32875000000001</v>
      </c>
      <c r="J19" s="144">
        <v>0.27189999999999998</v>
      </c>
      <c r="K19" s="12">
        <f t="shared" si="17"/>
        <v>392.23</v>
      </c>
      <c r="L19" s="12">
        <f t="shared" si="18"/>
        <v>694.38</v>
      </c>
      <c r="M19" s="12">
        <f t="shared" si="19"/>
        <v>1086.6100000000001</v>
      </c>
      <c r="O19" s="20"/>
      <c r="P19" s="20"/>
      <c r="S19" s="128">
        <v>0.5</v>
      </c>
      <c r="T19" s="129">
        <f>S19*M19</f>
        <v>543.30500000000006</v>
      </c>
      <c r="U19" s="128">
        <v>0.5</v>
      </c>
      <c r="V19" s="129">
        <f>U19*M19</f>
        <v>543.30500000000006</v>
      </c>
      <c r="W19" s="128"/>
      <c r="X19" s="129"/>
      <c r="Y19" s="128"/>
      <c r="Z19" s="122"/>
      <c r="AB19" s="27">
        <f t="shared" si="20"/>
        <v>1</v>
      </c>
      <c r="AC19" s="11">
        <f t="shared" si="21"/>
        <v>1086.6100000000001</v>
      </c>
    </row>
    <row r="20" spans="1:30" ht="30" x14ac:dyDescent="0.25">
      <c r="A20" s="15" t="s">
        <v>47</v>
      </c>
      <c r="B20" s="139" t="s">
        <v>516</v>
      </c>
      <c r="C20" s="16" t="s">
        <v>515</v>
      </c>
      <c r="D20" s="149" t="s">
        <v>379</v>
      </c>
      <c r="E20" s="149">
        <v>16</v>
      </c>
      <c r="F20" s="146">
        <v>220</v>
      </c>
      <c r="G20" s="146">
        <v>0</v>
      </c>
      <c r="H20" s="12">
        <f t="shared" si="24"/>
        <v>220</v>
      </c>
      <c r="I20" s="12">
        <f t="shared" si="25"/>
        <v>3520</v>
      </c>
      <c r="J20" s="144">
        <v>0.27189999999999998</v>
      </c>
      <c r="K20" s="12">
        <f t="shared" si="17"/>
        <v>4477.08</v>
      </c>
      <c r="L20" s="12">
        <f t="shared" si="18"/>
        <v>0</v>
      </c>
      <c r="M20" s="12">
        <f t="shared" si="19"/>
        <v>4477.08</v>
      </c>
      <c r="O20" s="20"/>
      <c r="P20" s="20"/>
      <c r="S20" s="128">
        <v>0.5</v>
      </c>
      <c r="T20" s="129">
        <f>S20*M20</f>
        <v>2238.54</v>
      </c>
      <c r="U20" s="128">
        <v>0.25</v>
      </c>
      <c r="V20" s="129">
        <f>U20*M20</f>
        <v>1119.27</v>
      </c>
      <c r="W20" s="128">
        <v>0.25</v>
      </c>
      <c r="X20" s="129">
        <f>W20*M20</f>
        <v>1119.27</v>
      </c>
      <c r="Y20" s="128"/>
      <c r="Z20" s="122"/>
      <c r="AB20" s="27">
        <f t="shared" si="20"/>
        <v>1</v>
      </c>
      <c r="AC20" s="11">
        <f t="shared" si="21"/>
        <v>4477.08</v>
      </c>
    </row>
    <row r="21" spans="1:30" ht="30" x14ac:dyDescent="0.25">
      <c r="A21" s="15" t="s">
        <v>49</v>
      </c>
      <c r="B21" s="15" t="s">
        <v>331</v>
      </c>
      <c r="C21" s="16" t="s">
        <v>518</v>
      </c>
      <c r="D21" s="148" t="s">
        <v>519</v>
      </c>
      <c r="E21" s="148">
        <v>30</v>
      </c>
      <c r="F21" s="146">
        <v>15.75</v>
      </c>
      <c r="G21" s="146">
        <v>0</v>
      </c>
      <c r="H21" s="12">
        <f t="shared" si="24"/>
        <v>15.75</v>
      </c>
      <c r="I21" s="12">
        <f t="shared" si="25"/>
        <v>472.5</v>
      </c>
      <c r="J21" s="144">
        <v>0.27189999999999998</v>
      </c>
      <c r="K21" s="12">
        <f t="shared" si="17"/>
        <v>600.97</v>
      </c>
      <c r="L21" s="12">
        <f t="shared" si="18"/>
        <v>0</v>
      </c>
      <c r="M21" s="12">
        <f t="shared" si="19"/>
        <v>600.97</v>
      </c>
      <c r="O21" s="20"/>
      <c r="P21" s="20"/>
      <c r="S21" s="128"/>
      <c r="T21" s="129"/>
      <c r="U21" s="128"/>
      <c r="V21" s="129"/>
      <c r="W21" s="128">
        <v>0.5</v>
      </c>
      <c r="X21" s="129">
        <f>W21*M21</f>
        <v>300.48500000000001</v>
      </c>
      <c r="Y21" s="128">
        <v>0.5</v>
      </c>
      <c r="Z21" s="129">
        <f>Y21*M21</f>
        <v>300.48500000000001</v>
      </c>
      <c r="AB21" s="27">
        <f t="shared" si="20"/>
        <v>1</v>
      </c>
      <c r="AC21" s="11">
        <f t="shared" si="21"/>
        <v>600.97</v>
      </c>
    </row>
    <row r="22" spans="1:30" ht="30" x14ac:dyDescent="0.25">
      <c r="A22" s="15" t="s">
        <v>51</v>
      </c>
      <c r="B22" s="15" t="s">
        <v>521</v>
      </c>
      <c r="C22" s="16" t="s">
        <v>522</v>
      </c>
      <c r="D22" s="148" t="s">
        <v>84</v>
      </c>
      <c r="E22" s="148">
        <v>30</v>
      </c>
      <c r="F22" s="146">
        <v>3.63</v>
      </c>
      <c r="G22" s="146">
        <v>9.6999999999999993</v>
      </c>
      <c r="H22" s="12">
        <f t="shared" si="24"/>
        <v>13.329999999999998</v>
      </c>
      <c r="I22" s="12">
        <f t="shared" si="25"/>
        <v>399.9</v>
      </c>
      <c r="J22" s="144">
        <v>0.27189999999999998</v>
      </c>
      <c r="K22" s="12">
        <f t="shared" si="17"/>
        <v>138.5</v>
      </c>
      <c r="L22" s="12">
        <f t="shared" si="18"/>
        <v>370.12</v>
      </c>
      <c r="M22" s="12">
        <f t="shared" si="19"/>
        <v>508.62</v>
      </c>
      <c r="O22" s="20"/>
      <c r="P22" s="20"/>
      <c r="S22" s="128"/>
      <c r="T22" s="129"/>
      <c r="U22" s="128"/>
      <c r="V22" s="129"/>
      <c r="W22" s="128">
        <v>0.5</v>
      </c>
      <c r="X22" s="129">
        <f>W22*M22</f>
        <v>254.31</v>
      </c>
      <c r="Y22" s="128">
        <v>0.5</v>
      </c>
      <c r="Z22" s="129">
        <f>Y22*M22</f>
        <v>254.31</v>
      </c>
      <c r="AB22" s="27">
        <f t="shared" si="20"/>
        <v>1</v>
      </c>
      <c r="AC22" s="11">
        <f t="shared" si="21"/>
        <v>508.62</v>
      </c>
    </row>
    <row r="23" spans="1:30" ht="30" outlineLevel="1" x14ac:dyDescent="0.25">
      <c r="A23" s="15" t="s">
        <v>520</v>
      </c>
      <c r="B23" s="15" t="s">
        <v>523</v>
      </c>
      <c r="C23" s="16" t="s">
        <v>524</v>
      </c>
      <c r="D23" s="148" t="s">
        <v>430</v>
      </c>
      <c r="E23" s="148">
        <f>2*1.125</f>
        <v>2.25</v>
      </c>
      <c r="F23" s="146">
        <v>300</v>
      </c>
      <c r="G23" s="146">
        <v>0</v>
      </c>
      <c r="H23" s="12">
        <f t="shared" ref="H23" si="26">F23+G23</f>
        <v>300</v>
      </c>
      <c r="I23" s="12">
        <f t="shared" ref="I23" si="27">TRUNC(H23*E23,2)</f>
        <v>675</v>
      </c>
      <c r="J23" s="144">
        <v>0.27189999999999998</v>
      </c>
      <c r="K23" s="12">
        <f>TRUNC($E23*F23*(1+$J23),2)</f>
        <v>858.53</v>
      </c>
      <c r="L23" s="12">
        <f>TRUNC($E23*G23*(1+$J23),2)</f>
        <v>0</v>
      </c>
      <c r="M23" s="12">
        <f>L23+K23</f>
        <v>858.53</v>
      </c>
      <c r="O23" s="20"/>
      <c r="P23" s="20">
        <f>M16/$M$40</f>
        <v>5.3418895801374475E-3</v>
      </c>
      <c r="S23" s="127">
        <v>1</v>
      </c>
      <c r="T23" s="130">
        <f>S23*M23</f>
        <v>858.53</v>
      </c>
      <c r="U23" s="124"/>
      <c r="V23" s="124"/>
      <c r="W23" s="120"/>
      <c r="X23" s="121"/>
      <c r="Y23" s="124"/>
      <c r="Z23" s="124"/>
      <c r="AB23" s="27">
        <f t="shared" si="20"/>
        <v>1</v>
      </c>
      <c r="AC23" s="11">
        <f t="shared" si="21"/>
        <v>858.53</v>
      </c>
      <c r="AD23" s="3" t="str">
        <f>IF(AC23=M16,"OK","VERIFICAR")</f>
        <v>VERIFICAR</v>
      </c>
    </row>
    <row r="24" spans="1:30" x14ac:dyDescent="0.25">
      <c r="C24" s="17"/>
    </row>
    <row r="25" spans="1:30" x14ac:dyDescent="0.25">
      <c r="A25" s="5" t="s">
        <v>433</v>
      </c>
      <c r="B25" s="5"/>
      <c r="C25" s="18" t="s">
        <v>428</v>
      </c>
      <c r="D25" s="5"/>
      <c r="E25" s="6"/>
      <c r="F25" s="6"/>
      <c r="G25" s="6"/>
      <c r="H25" s="7"/>
      <c r="I25" s="7"/>
      <c r="J25" s="7"/>
      <c r="K25" s="7"/>
      <c r="L25" s="7"/>
      <c r="M25" s="7">
        <f>SUM(M26:M38)</f>
        <v>485780.32000000007</v>
      </c>
      <c r="O25" s="20">
        <f>M25/$M$40</f>
        <v>0.9252305351549851</v>
      </c>
      <c r="P25" s="20">
        <f>M25/$M$40</f>
        <v>0.9252305351549851</v>
      </c>
      <c r="S25" s="32">
        <f>T25/$M$40</f>
        <v>2.0318660934144344E-2</v>
      </c>
      <c r="T25" s="7">
        <f>SUM(T26:T38)</f>
        <v>10668.050000000001</v>
      </c>
      <c r="U25" s="32">
        <f>V25/$M$40</f>
        <v>0.30467432146599321</v>
      </c>
      <c r="V25" s="7">
        <f>SUM(V26:V38)</f>
        <v>159965.31</v>
      </c>
      <c r="W25" s="32">
        <f>X25/$M$40</f>
        <v>0.38496348238731942</v>
      </c>
      <c r="X25" s="7">
        <f>SUM(X26:X38)</f>
        <v>202120.095</v>
      </c>
      <c r="Y25" s="32">
        <f>Z25/$M$40</f>
        <v>0.21527407036752791</v>
      </c>
      <c r="Z25" s="7">
        <f>SUM(Z26:Z38)</f>
        <v>113026.86499999999</v>
      </c>
      <c r="AB25" s="4"/>
      <c r="AC25" s="11">
        <f t="shared" ref="AC25" si="28">SUM(T25,V25,X25,Z25)</f>
        <v>485780.31999999995</v>
      </c>
      <c r="AD25" s="3" t="str">
        <f t="shared" ref="AD25" si="29">IF(AC25=M25,"OK","VERIFICAR")</f>
        <v>OK</v>
      </c>
    </row>
    <row r="26" spans="1:30" ht="30" outlineLevel="1" x14ac:dyDescent="0.25">
      <c r="A26" s="15" t="s">
        <v>54</v>
      </c>
      <c r="B26" s="15" t="s">
        <v>525</v>
      </c>
      <c r="C26" s="16" t="s">
        <v>526</v>
      </c>
      <c r="D26" s="148" t="s">
        <v>527</v>
      </c>
      <c r="E26" s="148">
        <f>6*44</f>
        <v>264</v>
      </c>
      <c r="F26" s="146">
        <f>5.89+13.59</f>
        <v>19.48</v>
      </c>
      <c r="G26" s="146">
        <f>2.86</f>
        <v>2.86</v>
      </c>
      <c r="H26" s="12">
        <f t="shared" ref="H26:H38" si="30">F26+G26</f>
        <v>22.34</v>
      </c>
      <c r="I26" s="12">
        <f t="shared" ref="I26:I38" si="31">TRUNC(H26*E26,2)</f>
        <v>5897.76</v>
      </c>
      <c r="J26" s="144">
        <v>0.27189999999999998</v>
      </c>
      <c r="K26" s="12">
        <f t="shared" ref="K26:K38" si="32">TRUNC($E26*F26*(1+$J26),2)</f>
        <v>6541.02</v>
      </c>
      <c r="L26" s="12">
        <f t="shared" ref="L26:L38" si="33">TRUNC($E26*G26*(1+$J26),2)</f>
        <v>960.33</v>
      </c>
      <c r="M26" s="12">
        <f t="shared" ref="M26:M38" si="34">L26+K26</f>
        <v>7501.35</v>
      </c>
      <c r="S26" s="124"/>
      <c r="T26" s="124"/>
      <c r="U26" s="124"/>
      <c r="V26" s="124"/>
      <c r="W26" s="120">
        <v>1</v>
      </c>
      <c r="X26" s="121">
        <f>W26*$M26</f>
        <v>7501.35</v>
      </c>
      <c r="Y26" s="124"/>
      <c r="Z26" s="124"/>
      <c r="AB26" s="27">
        <f t="shared" ref="AB26:AB38" si="35">SUM(S26,U26,W26,Y26)</f>
        <v>1</v>
      </c>
      <c r="AC26" s="11">
        <f t="shared" ref="AC26:AC38" si="36">SUM(T26,V26,X26,Z26)</f>
        <v>7501.35</v>
      </c>
      <c r="AD26" s="3" t="str">
        <f t="shared" ref="AD26:AD40" si="37">IF(AC26=M26,"OK","VERIFICAR")</f>
        <v>OK</v>
      </c>
    </row>
    <row r="27" spans="1:30" ht="58.5" outlineLevel="1" x14ac:dyDescent="0.25">
      <c r="A27" s="15" t="s">
        <v>56</v>
      </c>
      <c r="B27" s="139" t="s">
        <v>528</v>
      </c>
      <c r="C27" s="16" t="s">
        <v>418</v>
      </c>
      <c r="D27" s="148" t="s">
        <v>207</v>
      </c>
      <c r="E27" s="148">
        <v>1</v>
      </c>
      <c r="F27" s="146">
        <v>229847.5</v>
      </c>
      <c r="G27" s="146">
        <v>0</v>
      </c>
      <c r="H27" s="12">
        <f t="shared" si="30"/>
        <v>229847.5</v>
      </c>
      <c r="I27" s="12">
        <f t="shared" si="31"/>
        <v>229847.5</v>
      </c>
      <c r="J27" s="144">
        <v>0.27189999999999998</v>
      </c>
      <c r="K27" s="12">
        <f t="shared" si="32"/>
        <v>292343.03000000003</v>
      </c>
      <c r="L27" s="12">
        <f t="shared" si="33"/>
        <v>0</v>
      </c>
      <c r="M27" s="12">
        <f t="shared" si="34"/>
        <v>292343.03000000003</v>
      </c>
      <c r="S27" s="124"/>
      <c r="T27" s="124"/>
      <c r="U27" s="120">
        <v>0.5</v>
      </c>
      <c r="V27" s="130">
        <f>U27*M27</f>
        <v>146171.51500000001</v>
      </c>
      <c r="W27" s="120">
        <v>0.5</v>
      </c>
      <c r="X27" s="121">
        <f>W27*$M27</f>
        <v>146171.51500000001</v>
      </c>
      <c r="Y27" s="124"/>
      <c r="Z27" s="124"/>
      <c r="AB27" s="27">
        <f t="shared" si="35"/>
        <v>1</v>
      </c>
      <c r="AC27" s="11">
        <f t="shared" si="36"/>
        <v>292343.03000000003</v>
      </c>
      <c r="AD27" s="3" t="str">
        <f t="shared" si="37"/>
        <v>OK</v>
      </c>
    </row>
    <row r="28" spans="1:30" ht="30" outlineLevel="1" x14ac:dyDescent="0.25">
      <c r="A28" s="15" t="s">
        <v>58</v>
      </c>
      <c r="B28" s="139" t="s">
        <v>536</v>
      </c>
      <c r="C28" s="16" t="s">
        <v>473</v>
      </c>
      <c r="D28" s="148" t="s">
        <v>430</v>
      </c>
      <c r="E28" s="148">
        <v>1092.9000000000001</v>
      </c>
      <c r="F28" s="146">
        <v>99.36</v>
      </c>
      <c r="G28" s="146">
        <v>2.14</v>
      </c>
      <c r="H28" s="12">
        <f t="shared" si="30"/>
        <v>101.5</v>
      </c>
      <c r="I28" s="12">
        <f t="shared" si="31"/>
        <v>110929.35</v>
      </c>
      <c r="J28" s="144">
        <v>0.27189999999999998</v>
      </c>
      <c r="K28" s="12">
        <f t="shared" si="32"/>
        <v>138116.31</v>
      </c>
      <c r="L28" s="12">
        <f t="shared" si="33"/>
        <v>2974.72</v>
      </c>
      <c r="M28" s="12">
        <f t="shared" si="34"/>
        <v>141091.03</v>
      </c>
      <c r="S28" s="124"/>
      <c r="T28" s="124"/>
      <c r="U28" s="124"/>
      <c r="V28" s="124"/>
      <c r="W28" s="120">
        <v>0.25</v>
      </c>
      <c r="X28" s="121">
        <f t="shared" ref="X28:X31" si="38">W28*$M28</f>
        <v>35272.7575</v>
      </c>
      <c r="Y28" s="120">
        <v>0.75</v>
      </c>
      <c r="Z28" s="130">
        <f>Y28*M28</f>
        <v>105818.27249999999</v>
      </c>
      <c r="AB28" s="27">
        <f t="shared" si="35"/>
        <v>1</v>
      </c>
      <c r="AC28" s="11">
        <f t="shared" si="36"/>
        <v>141091.03</v>
      </c>
      <c r="AD28" s="3" t="str">
        <f t="shared" si="37"/>
        <v>OK</v>
      </c>
    </row>
    <row r="29" spans="1:30" ht="30" outlineLevel="1" x14ac:dyDescent="0.25">
      <c r="A29" s="15" t="s">
        <v>60</v>
      </c>
      <c r="B29" s="15" t="s">
        <v>324</v>
      </c>
      <c r="C29" s="16" t="s">
        <v>216</v>
      </c>
      <c r="D29" s="148" t="s">
        <v>430</v>
      </c>
      <c r="E29" s="148">
        <f>44*0.5</f>
        <v>22</v>
      </c>
      <c r="F29" s="146">
        <v>7.79</v>
      </c>
      <c r="G29" s="146">
        <v>5.42</v>
      </c>
      <c r="H29" s="12">
        <f t="shared" si="30"/>
        <v>13.21</v>
      </c>
      <c r="I29" s="12">
        <f t="shared" si="31"/>
        <v>290.62</v>
      </c>
      <c r="J29" s="144">
        <v>0.27189999999999998</v>
      </c>
      <c r="K29" s="12">
        <f t="shared" si="32"/>
        <v>217.97</v>
      </c>
      <c r="L29" s="12">
        <f t="shared" si="33"/>
        <v>151.66</v>
      </c>
      <c r="M29" s="12">
        <f t="shared" si="34"/>
        <v>369.63</v>
      </c>
      <c r="S29" s="124"/>
      <c r="T29" s="124"/>
      <c r="U29" s="124"/>
      <c r="V29" s="124"/>
      <c r="W29" s="120">
        <v>0.5</v>
      </c>
      <c r="X29" s="121">
        <f>W29*$M29</f>
        <v>184.815</v>
      </c>
      <c r="Y29" s="120">
        <v>0.5</v>
      </c>
      <c r="Z29" s="130">
        <f>Y29*M29</f>
        <v>184.815</v>
      </c>
      <c r="AB29" s="27">
        <f t="shared" si="35"/>
        <v>1</v>
      </c>
      <c r="AC29" s="11">
        <f t="shared" si="36"/>
        <v>369.63</v>
      </c>
      <c r="AD29" s="3" t="str">
        <f t="shared" si="37"/>
        <v>OK</v>
      </c>
    </row>
    <row r="30" spans="1:30" ht="30" outlineLevel="1" x14ac:dyDescent="0.25">
      <c r="A30" s="15" t="s">
        <v>62</v>
      </c>
      <c r="B30" s="15" t="s">
        <v>537</v>
      </c>
      <c r="C30" s="16" t="s">
        <v>538</v>
      </c>
      <c r="D30" s="148" t="s">
        <v>84</v>
      </c>
      <c r="E30" s="148">
        <f>44*2*3</f>
        <v>264</v>
      </c>
      <c r="F30" s="146">
        <f>0.06+25.79+0.05</f>
        <v>25.9</v>
      </c>
      <c r="G30" s="146">
        <v>13.99</v>
      </c>
      <c r="H30" s="12">
        <f t="shared" si="30"/>
        <v>39.89</v>
      </c>
      <c r="I30" s="12">
        <f t="shared" si="31"/>
        <v>10530.96</v>
      </c>
      <c r="J30" s="144">
        <v>0.27189999999999998</v>
      </c>
      <c r="K30" s="12">
        <f t="shared" si="32"/>
        <v>8696.74</v>
      </c>
      <c r="L30" s="12">
        <f t="shared" si="33"/>
        <v>4697.58</v>
      </c>
      <c r="M30" s="12">
        <f t="shared" si="34"/>
        <v>13394.32</v>
      </c>
      <c r="S30" s="124"/>
      <c r="T30" s="124"/>
      <c r="U30" s="120">
        <v>0.25</v>
      </c>
      <c r="V30" s="130">
        <f>U30*M30</f>
        <v>3348.58</v>
      </c>
      <c r="W30" s="120">
        <v>0.75</v>
      </c>
      <c r="X30" s="121">
        <f t="shared" si="38"/>
        <v>10045.74</v>
      </c>
      <c r="Y30" s="124"/>
      <c r="Z30" s="124"/>
      <c r="AB30" s="27">
        <f t="shared" si="35"/>
        <v>1</v>
      </c>
      <c r="AC30" s="11">
        <f t="shared" si="36"/>
        <v>13394.32</v>
      </c>
      <c r="AD30" s="3" t="str">
        <f t="shared" si="37"/>
        <v>OK</v>
      </c>
    </row>
    <row r="31" spans="1:30" ht="30" outlineLevel="1" x14ac:dyDescent="0.25">
      <c r="A31" s="15" t="s">
        <v>63</v>
      </c>
      <c r="B31" s="15" t="s">
        <v>292</v>
      </c>
      <c r="C31" s="16" t="s">
        <v>150</v>
      </c>
      <c r="D31" s="148" t="s">
        <v>437</v>
      </c>
      <c r="E31" s="148">
        <f>1.2*0.5*0.5*44</f>
        <v>13.2</v>
      </c>
      <c r="F31" s="146">
        <v>20.39</v>
      </c>
      <c r="G31" s="146">
        <v>43.39</v>
      </c>
      <c r="H31" s="12">
        <f t="shared" si="30"/>
        <v>63.78</v>
      </c>
      <c r="I31" s="12">
        <f t="shared" si="31"/>
        <v>841.89</v>
      </c>
      <c r="J31" s="144">
        <v>0.27189999999999998</v>
      </c>
      <c r="K31" s="12">
        <f t="shared" si="32"/>
        <v>342.32</v>
      </c>
      <c r="L31" s="12">
        <f t="shared" si="33"/>
        <v>728.47</v>
      </c>
      <c r="M31" s="12">
        <f t="shared" si="34"/>
        <v>1070.79</v>
      </c>
      <c r="S31" s="120">
        <v>0.5</v>
      </c>
      <c r="T31" s="130">
        <f>S31*M31</f>
        <v>535.39499999999998</v>
      </c>
      <c r="U31" s="120">
        <v>0.5</v>
      </c>
      <c r="V31" s="130">
        <f>U31*M31</f>
        <v>535.39499999999998</v>
      </c>
      <c r="W31" s="120">
        <v>0</v>
      </c>
      <c r="X31" s="121">
        <f t="shared" si="38"/>
        <v>0</v>
      </c>
      <c r="Y31" s="124"/>
      <c r="Z31" s="124"/>
      <c r="AB31" s="27">
        <f t="shared" si="35"/>
        <v>1</v>
      </c>
      <c r="AC31" s="11">
        <f t="shared" si="36"/>
        <v>1070.79</v>
      </c>
      <c r="AD31" s="3" t="str">
        <f t="shared" si="37"/>
        <v>OK</v>
      </c>
    </row>
    <row r="32" spans="1:30" ht="45" outlineLevel="1" x14ac:dyDescent="0.25">
      <c r="A32" s="15" t="s">
        <v>65</v>
      </c>
      <c r="B32" s="15" t="s">
        <v>432</v>
      </c>
      <c r="C32" s="16" t="s">
        <v>431</v>
      </c>
      <c r="D32" s="148" t="s">
        <v>430</v>
      </c>
      <c r="E32" s="148">
        <v>44</v>
      </c>
      <c r="F32" s="146">
        <f>0.03+50.7+0.08</f>
        <v>50.81</v>
      </c>
      <c r="G32" s="146">
        <f>14.02</f>
        <v>14.02</v>
      </c>
      <c r="H32" s="12">
        <f t="shared" si="30"/>
        <v>64.83</v>
      </c>
      <c r="I32" s="12">
        <f t="shared" si="31"/>
        <v>2852.52</v>
      </c>
      <c r="J32" s="144">
        <v>0.27189999999999998</v>
      </c>
      <c r="K32" s="12">
        <f t="shared" si="32"/>
        <v>2843.51</v>
      </c>
      <c r="L32" s="12">
        <f t="shared" si="33"/>
        <v>784.6</v>
      </c>
      <c r="M32" s="12">
        <f t="shared" si="34"/>
        <v>3628.11</v>
      </c>
      <c r="S32" s="124"/>
      <c r="T32" s="124"/>
      <c r="U32" s="124"/>
      <c r="V32" s="124"/>
      <c r="W32" s="120">
        <v>0.75</v>
      </c>
      <c r="X32" s="121">
        <f t="shared" ref="X32" si="39">W32*$M32</f>
        <v>2721.0825</v>
      </c>
      <c r="Y32" s="120">
        <v>0.25</v>
      </c>
      <c r="Z32" s="130">
        <f>Y32*M32</f>
        <v>907.02750000000003</v>
      </c>
      <c r="AB32" s="27">
        <f t="shared" si="35"/>
        <v>1</v>
      </c>
      <c r="AC32" s="11">
        <f t="shared" si="36"/>
        <v>3628.11</v>
      </c>
      <c r="AD32" s="3" t="str">
        <f t="shared" si="37"/>
        <v>OK</v>
      </c>
    </row>
    <row r="33" spans="1:30" ht="60" outlineLevel="1" x14ac:dyDescent="0.25">
      <c r="A33" s="15" t="s">
        <v>67</v>
      </c>
      <c r="B33" s="139" t="s">
        <v>554</v>
      </c>
      <c r="C33" s="16" t="s">
        <v>555</v>
      </c>
      <c r="D33" s="148" t="s">
        <v>207</v>
      </c>
      <c r="E33" s="148">
        <v>16</v>
      </c>
      <c r="F33" s="146">
        <v>41.68</v>
      </c>
      <c r="G33" s="146">
        <v>10.82</v>
      </c>
      <c r="H33" s="12">
        <f t="shared" ref="H33" si="40">F33+G33</f>
        <v>52.5</v>
      </c>
      <c r="I33" s="12">
        <f t="shared" ref="I33" si="41">TRUNC(H33*E33,2)</f>
        <v>840</v>
      </c>
      <c r="J33" s="144">
        <v>0.27189999999999998</v>
      </c>
      <c r="K33" s="12">
        <f t="shared" ref="K33" si="42">TRUNC($E33*F33*(1+$J33),2)</f>
        <v>848.2</v>
      </c>
      <c r="L33" s="12">
        <f t="shared" ref="L33" si="43">TRUNC($E33*G33*(1+$J33),2)</f>
        <v>220.19</v>
      </c>
      <c r="M33" s="12">
        <f t="shared" ref="M33" si="44">L33+K33</f>
        <v>1068.3900000000001</v>
      </c>
      <c r="S33" s="124"/>
      <c r="T33" s="124"/>
      <c r="U33" s="124"/>
      <c r="V33" s="124"/>
      <c r="W33" s="124"/>
      <c r="X33" s="124"/>
      <c r="Y33" s="120">
        <v>1</v>
      </c>
      <c r="Z33" s="121">
        <f t="shared" ref="Z33" si="45">Y33*$M33</f>
        <v>1068.3900000000001</v>
      </c>
      <c r="AB33" s="27">
        <f t="shared" ref="AB33" si="46">SUM(S33,U33,W33,Y33)</f>
        <v>1</v>
      </c>
      <c r="AC33" s="11">
        <f t="shared" ref="AC33" si="47">SUM(T33,V33,X33,Z33)</f>
        <v>1068.3900000000001</v>
      </c>
      <c r="AD33" s="3" t="str">
        <f t="shared" ref="AD33" si="48">IF(AC33=M33,"OK","VERIFICAR")</f>
        <v>OK</v>
      </c>
    </row>
    <row r="34" spans="1:30" ht="30" outlineLevel="1" x14ac:dyDescent="0.25">
      <c r="A34" s="15" t="s">
        <v>435</v>
      </c>
      <c r="B34" s="15" t="s">
        <v>299</v>
      </c>
      <c r="C34" s="16" t="s">
        <v>539</v>
      </c>
      <c r="D34" s="148" t="s">
        <v>430</v>
      </c>
      <c r="E34" s="148">
        <f>1.5*44</f>
        <v>66</v>
      </c>
      <c r="F34" s="146">
        <f>66.57+0.17</f>
        <v>66.739999999999995</v>
      </c>
      <c r="G34" s="146">
        <v>31.31</v>
      </c>
      <c r="H34" s="12">
        <f t="shared" si="30"/>
        <v>98.05</v>
      </c>
      <c r="I34" s="12">
        <f t="shared" si="31"/>
        <v>6471.3</v>
      </c>
      <c r="J34" s="144">
        <v>0.27189999999999998</v>
      </c>
      <c r="K34" s="12">
        <f t="shared" si="32"/>
        <v>5602.51</v>
      </c>
      <c r="L34" s="12">
        <f t="shared" si="33"/>
        <v>2628.33</v>
      </c>
      <c r="M34" s="12">
        <f t="shared" si="34"/>
        <v>8230.84</v>
      </c>
      <c r="S34" s="127">
        <v>0.5</v>
      </c>
      <c r="T34" s="130">
        <f>S34*M34</f>
        <v>4115.42</v>
      </c>
      <c r="U34" s="127">
        <v>0.5</v>
      </c>
      <c r="V34" s="130">
        <f>U34*M34</f>
        <v>4115.42</v>
      </c>
      <c r="W34" s="120">
        <v>0</v>
      </c>
      <c r="X34" s="121">
        <f t="shared" ref="X34:X37" si="49">W34*$M34</f>
        <v>0</v>
      </c>
      <c r="Y34" s="124"/>
      <c r="Z34" s="124"/>
      <c r="AB34" s="27">
        <f t="shared" si="35"/>
        <v>1</v>
      </c>
      <c r="AC34" s="11">
        <f t="shared" si="36"/>
        <v>8230.84</v>
      </c>
      <c r="AD34" s="3" t="str">
        <f t="shared" si="37"/>
        <v>OK</v>
      </c>
    </row>
    <row r="35" spans="1:30" ht="30" outlineLevel="1" x14ac:dyDescent="0.25">
      <c r="A35" s="15" t="s">
        <v>434</v>
      </c>
      <c r="B35" s="15" t="s">
        <v>300</v>
      </c>
      <c r="C35" s="16" t="s">
        <v>540</v>
      </c>
      <c r="D35" s="148" t="s">
        <v>81</v>
      </c>
      <c r="E35" s="148">
        <f>4.752*1.1*44</f>
        <v>229.99680000000001</v>
      </c>
      <c r="F35" s="146">
        <v>8.91</v>
      </c>
      <c r="G35" s="146">
        <v>2.0499999999999998</v>
      </c>
      <c r="H35" s="12">
        <f t="shared" si="30"/>
        <v>10.96</v>
      </c>
      <c r="I35" s="12">
        <f t="shared" si="31"/>
        <v>2520.7600000000002</v>
      </c>
      <c r="J35" s="144">
        <v>0.27189999999999998</v>
      </c>
      <c r="K35" s="12">
        <f t="shared" si="32"/>
        <v>2606.46</v>
      </c>
      <c r="L35" s="12">
        <f t="shared" si="33"/>
        <v>599.69000000000005</v>
      </c>
      <c r="M35" s="12">
        <f t="shared" si="34"/>
        <v>3206.15</v>
      </c>
      <c r="S35" s="127">
        <v>0.5</v>
      </c>
      <c r="T35" s="130">
        <f>S35*M35</f>
        <v>1603.075</v>
      </c>
      <c r="U35" s="127">
        <v>0.5</v>
      </c>
      <c r="V35" s="130">
        <f>U36*M35</f>
        <v>1603.075</v>
      </c>
      <c r="W35" s="120">
        <v>0</v>
      </c>
      <c r="X35" s="121">
        <f t="shared" si="49"/>
        <v>0</v>
      </c>
      <c r="Y35" s="124"/>
      <c r="Z35" s="124"/>
      <c r="AB35" s="27">
        <f t="shared" si="35"/>
        <v>1</v>
      </c>
      <c r="AC35" s="11">
        <f t="shared" si="36"/>
        <v>3206.15</v>
      </c>
      <c r="AD35" s="3" t="str">
        <f t="shared" si="37"/>
        <v>OK</v>
      </c>
    </row>
    <row r="36" spans="1:30" ht="30" outlineLevel="1" x14ac:dyDescent="0.25">
      <c r="A36" s="15" t="s">
        <v>436</v>
      </c>
      <c r="B36" s="15" t="s">
        <v>301</v>
      </c>
      <c r="C36" s="16" t="s">
        <v>220</v>
      </c>
      <c r="D36" s="148" t="s">
        <v>437</v>
      </c>
      <c r="E36" s="148">
        <f>0.5*0.5*1.2*1.1*44</f>
        <v>14.520000000000001</v>
      </c>
      <c r="F36" s="146">
        <f>2.36+335.44+1.79</f>
        <v>339.59000000000003</v>
      </c>
      <c r="G36" s="146">
        <f>90.18</f>
        <v>90.18</v>
      </c>
      <c r="H36" s="12">
        <f t="shared" si="30"/>
        <v>429.77000000000004</v>
      </c>
      <c r="I36" s="12">
        <f t="shared" si="31"/>
        <v>6240.26</v>
      </c>
      <c r="J36" s="144">
        <v>0.27189999999999998</v>
      </c>
      <c r="K36" s="12">
        <f t="shared" si="32"/>
        <v>6271.54</v>
      </c>
      <c r="L36" s="12">
        <f t="shared" si="33"/>
        <v>1665.44</v>
      </c>
      <c r="M36" s="12">
        <f t="shared" si="34"/>
        <v>7936.98</v>
      </c>
      <c r="S36" s="127">
        <v>0.5</v>
      </c>
      <c r="T36" s="130">
        <f>S36*M36</f>
        <v>3968.49</v>
      </c>
      <c r="U36" s="127">
        <v>0.5</v>
      </c>
      <c r="V36" s="130">
        <f>U36*M36</f>
        <v>3968.49</v>
      </c>
      <c r="W36" s="120">
        <v>0</v>
      </c>
      <c r="X36" s="121">
        <f t="shared" si="49"/>
        <v>0</v>
      </c>
      <c r="Y36" s="124"/>
      <c r="Z36" s="124"/>
      <c r="AB36" s="27">
        <f t="shared" si="35"/>
        <v>1</v>
      </c>
      <c r="AC36" s="11">
        <f t="shared" si="36"/>
        <v>7936.98</v>
      </c>
      <c r="AD36" s="3" t="str">
        <f t="shared" si="37"/>
        <v>OK</v>
      </c>
    </row>
    <row r="37" spans="1:30" ht="45" outlineLevel="1" x14ac:dyDescent="0.25">
      <c r="A37" s="15" t="s">
        <v>552</v>
      </c>
      <c r="B37" s="139" t="s">
        <v>541</v>
      </c>
      <c r="C37" s="16" t="s">
        <v>542</v>
      </c>
      <c r="D37" s="148" t="s">
        <v>437</v>
      </c>
      <c r="E37" s="148">
        <v>16</v>
      </c>
      <c r="F37" s="146">
        <v>14.88</v>
      </c>
      <c r="G37" s="146">
        <v>28.92</v>
      </c>
      <c r="H37" s="12">
        <f t="shared" si="30"/>
        <v>43.800000000000004</v>
      </c>
      <c r="I37" s="12">
        <f t="shared" si="31"/>
        <v>700.8</v>
      </c>
      <c r="J37" s="144">
        <v>0.27189999999999998</v>
      </c>
      <c r="K37" s="12">
        <f t="shared" si="32"/>
        <v>302.81</v>
      </c>
      <c r="L37" s="12">
        <f t="shared" si="33"/>
        <v>588.53</v>
      </c>
      <c r="M37" s="12">
        <f t="shared" si="34"/>
        <v>891.33999999999992</v>
      </c>
      <c r="S37" s="127">
        <v>0.5</v>
      </c>
      <c r="T37" s="130">
        <f>S37*M37</f>
        <v>445.66999999999996</v>
      </c>
      <c r="U37" s="127">
        <v>0.25</v>
      </c>
      <c r="V37" s="130">
        <f>U37*M37</f>
        <v>222.83499999999998</v>
      </c>
      <c r="W37" s="120">
        <v>0.25</v>
      </c>
      <c r="X37" s="121">
        <f t="shared" si="49"/>
        <v>222.83499999999998</v>
      </c>
      <c r="Y37" s="124"/>
      <c r="Z37" s="124"/>
      <c r="AB37" s="27">
        <f t="shared" si="35"/>
        <v>1</v>
      </c>
      <c r="AC37" s="11">
        <f t="shared" si="36"/>
        <v>891.33999999999992</v>
      </c>
      <c r="AD37" s="3" t="str">
        <f t="shared" si="37"/>
        <v>OK</v>
      </c>
    </row>
    <row r="38" spans="1:30" outlineLevel="1" x14ac:dyDescent="0.25">
      <c r="A38" s="15" t="s">
        <v>553</v>
      </c>
      <c r="B38" s="15" t="s">
        <v>326</v>
      </c>
      <c r="C38" s="16" t="s">
        <v>222</v>
      </c>
      <c r="D38" s="148" t="s">
        <v>430</v>
      </c>
      <c r="E38" s="148">
        <v>3150.12</v>
      </c>
      <c r="F38" s="146">
        <f>0.4+0.01</f>
        <v>0.41000000000000003</v>
      </c>
      <c r="G38" s="146">
        <v>0.85</v>
      </c>
      <c r="H38" s="12">
        <f t="shared" si="30"/>
        <v>1.26</v>
      </c>
      <c r="I38" s="12">
        <f t="shared" si="31"/>
        <v>3969.15</v>
      </c>
      <c r="J38" s="144">
        <v>0.27189999999999998</v>
      </c>
      <c r="K38" s="12">
        <f t="shared" si="32"/>
        <v>1642.72</v>
      </c>
      <c r="L38" s="12">
        <f t="shared" si="33"/>
        <v>3405.64</v>
      </c>
      <c r="M38" s="12">
        <f t="shared" si="34"/>
        <v>5048.3599999999997</v>
      </c>
      <c r="S38" s="124"/>
      <c r="T38" s="124"/>
      <c r="U38" s="124"/>
      <c r="V38" s="124"/>
      <c r="W38" s="124"/>
      <c r="X38" s="124"/>
      <c r="Y38" s="120">
        <v>1</v>
      </c>
      <c r="Z38" s="121">
        <f t="shared" ref="Z38" si="50">Y38*$M38</f>
        <v>5048.3599999999997</v>
      </c>
      <c r="AB38" s="27">
        <f t="shared" si="35"/>
        <v>1</v>
      </c>
      <c r="AC38" s="11">
        <f t="shared" si="36"/>
        <v>5048.3599999999997</v>
      </c>
      <c r="AD38" s="3" t="str">
        <f t="shared" si="37"/>
        <v>OK</v>
      </c>
    </row>
    <row r="40" spans="1:30" ht="30" customHeight="1" x14ac:dyDescent="0.25">
      <c r="A40" s="13"/>
      <c r="B40" s="13"/>
      <c r="C40" s="13" t="s">
        <v>404</v>
      </c>
      <c r="D40" s="13"/>
      <c r="E40" s="13"/>
      <c r="F40" s="14"/>
      <c r="G40" s="14"/>
      <c r="H40" s="13"/>
      <c r="I40" s="14">
        <f>SUM(I7:I39)</f>
        <v>412797.58875000005</v>
      </c>
      <c r="J40" s="37"/>
      <c r="K40" s="14">
        <f>SUM(K7:K39)</f>
        <v>477543.6</v>
      </c>
      <c r="L40" s="14">
        <f>SUM(L7:L39)</f>
        <v>47493.460000000006</v>
      </c>
      <c r="M40" s="33">
        <f>M25+M14+M7</f>
        <v>525037.06000000006</v>
      </c>
      <c r="P40" s="31">
        <f>SUM(P7:P38)</f>
        <v>0.93057242473512258</v>
      </c>
      <c r="R40" s="34" t="s">
        <v>404</v>
      </c>
      <c r="S40" s="28">
        <f>T40/$M$40</f>
        <v>5.4153824874762162E-2</v>
      </c>
      <c r="T40" s="14">
        <f>SUM(T7:T39)/2</f>
        <v>28432.764999999996</v>
      </c>
      <c r="U40" s="28">
        <f>V40/$M$40</f>
        <v>0.31870808319702232</v>
      </c>
      <c r="V40" s="14">
        <f>SUM(V7:V39)/2</f>
        <v>167333.55500000002</v>
      </c>
      <c r="W40" s="28">
        <f>X40/$M$40</f>
        <v>0.39873587209253381</v>
      </c>
      <c r="X40" s="14">
        <f>SUM(X7:X39)/2</f>
        <v>209351.11000000002</v>
      </c>
      <c r="Y40" s="28">
        <f>Z40/$M$40</f>
        <v>0.22840221983568165</v>
      </c>
      <c r="Z40" s="14">
        <f>SUM(Z7:Z39)/2</f>
        <v>119919.62999999999</v>
      </c>
      <c r="AC40" s="33">
        <f>SUM(AC7:AC39)/2</f>
        <v>525037.05999999994</v>
      </c>
      <c r="AD40" s="3" t="str">
        <f t="shared" si="37"/>
        <v>OK</v>
      </c>
    </row>
    <row r="41" spans="1:30" x14ac:dyDescent="0.25">
      <c r="K41" s="36">
        <f>K40/$M$40</f>
        <v>0.90954265209393015</v>
      </c>
      <c r="L41" s="36">
        <f>L40/$M$40</f>
        <v>9.0457347906069713E-2</v>
      </c>
      <c r="M41" s="36">
        <f>M40/$M$40</f>
        <v>1</v>
      </c>
      <c r="S41" s="29"/>
      <c r="U41" s="29"/>
      <c r="W41" s="29"/>
      <c r="Y41" s="29"/>
    </row>
    <row r="42" spans="1:30" ht="45" x14ac:dyDescent="0.25">
      <c r="R42" s="35" t="s">
        <v>405</v>
      </c>
      <c r="S42" s="28">
        <f>S40</f>
        <v>5.4153824874762162E-2</v>
      </c>
      <c r="T42" s="14">
        <f>T40</f>
        <v>28432.764999999996</v>
      </c>
      <c r="U42" s="28">
        <f t="shared" ref="U42:Z42" si="51">U40+S42</f>
        <v>0.37286190807178449</v>
      </c>
      <c r="V42" s="14">
        <f t="shared" si="51"/>
        <v>195766.32</v>
      </c>
      <c r="W42" s="28">
        <f t="shared" si="51"/>
        <v>0.77159778016431835</v>
      </c>
      <c r="X42" s="14">
        <f t="shared" si="51"/>
        <v>405117.43000000005</v>
      </c>
      <c r="Y42" s="28">
        <f t="shared" si="51"/>
        <v>1</v>
      </c>
      <c r="Z42" s="14">
        <f t="shared" si="51"/>
        <v>525037.06000000006</v>
      </c>
    </row>
    <row r="43" spans="1:30" ht="18" x14ac:dyDescent="0.25">
      <c r="C43" s="117"/>
    </row>
  </sheetData>
  <conditionalFormatting sqref="AC8:AC12 AC26:AC38">
    <cfRule type="cellIs" dxfId="108" priority="33" operator="notEqual">
      <formula>$M8</formula>
    </cfRule>
    <cfRule type="cellIs" dxfId="107" priority="34" operator="equal">
      <formula>$M8</formula>
    </cfRule>
  </conditionalFormatting>
  <conditionalFormatting sqref="AC25">
    <cfRule type="cellIs" dxfId="106" priority="27" operator="notEqual">
      <formula>$M25</formula>
    </cfRule>
    <cfRule type="cellIs" dxfId="105" priority="28" operator="equal">
      <formula>$M25</formula>
    </cfRule>
  </conditionalFormatting>
  <conditionalFormatting sqref="AC7">
    <cfRule type="cellIs" dxfId="104" priority="13" operator="notEqual">
      <formula>$M7</formula>
    </cfRule>
    <cfRule type="cellIs" dxfId="103" priority="14" operator="equal">
      <formula>$M7</formula>
    </cfRule>
  </conditionalFormatting>
  <conditionalFormatting sqref="AC15">
    <cfRule type="cellIs" dxfId="102" priority="11" operator="notEqual">
      <formula>$M15</formula>
    </cfRule>
    <cfRule type="cellIs" dxfId="101" priority="12" operator="equal">
      <formula>$M15</formula>
    </cfRule>
  </conditionalFormatting>
  <conditionalFormatting sqref="AC16">
    <cfRule type="cellIs" dxfId="100" priority="9" operator="notEqual">
      <formula>$M16</formula>
    </cfRule>
    <cfRule type="cellIs" dxfId="99" priority="10" operator="equal">
      <formula>$M16</formula>
    </cfRule>
  </conditionalFormatting>
  <conditionalFormatting sqref="AC17">
    <cfRule type="cellIs" dxfId="98" priority="7" operator="notEqual">
      <formula>$M17</formula>
    </cfRule>
    <cfRule type="cellIs" dxfId="97" priority="8" operator="equal">
      <formula>$M17</formula>
    </cfRule>
  </conditionalFormatting>
  <conditionalFormatting sqref="AC18">
    <cfRule type="cellIs" dxfId="96" priority="5" operator="notEqual">
      <formula>$M18</formula>
    </cfRule>
    <cfRule type="cellIs" dxfId="95" priority="6" operator="equal">
      <formula>$M18</formula>
    </cfRule>
  </conditionalFormatting>
  <conditionalFormatting sqref="AC19:AC23">
    <cfRule type="cellIs" dxfId="94" priority="3" operator="notEqual">
      <formula>$M19</formula>
    </cfRule>
    <cfRule type="cellIs" dxfId="93" priority="4" operator="equal">
      <formula>$M19</formula>
    </cfRule>
  </conditionalFormatting>
  <conditionalFormatting sqref="AC14">
    <cfRule type="cellIs" dxfId="92" priority="1" operator="notEqual">
      <formula>$M14</formula>
    </cfRule>
    <cfRule type="cellIs" dxfId="91" priority="2" operator="equal">
      <formula>$M14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6"/>
  <sheetViews>
    <sheetView topLeftCell="A339" workbookViewId="0">
      <selection activeCell="F349" sqref="F349"/>
    </sheetView>
  </sheetViews>
  <sheetFormatPr defaultRowHeight="15" x14ac:dyDescent="0.25"/>
  <cols>
    <col min="1" max="1" width="16.42578125" style="143" bestFit="1" customWidth="1"/>
    <col min="2" max="2" width="43.28515625" customWidth="1"/>
    <col min="3" max="3" width="27.42578125" customWidth="1"/>
    <col min="4" max="4" width="15.7109375" customWidth="1"/>
    <col min="6" max="6" width="18.28515625" customWidth="1"/>
    <col min="7" max="7" width="24.85546875" customWidth="1"/>
    <col min="8" max="8" width="13.85546875" customWidth="1"/>
    <col min="9" max="9" width="11.85546875" customWidth="1"/>
    <col min="10" max="10" width="11.28515625" customWidth="1"/>
    <col min="11" max="11" width="11.5703125" customWidth="1"/>
    <col min="13" max="13" width="20.7109375" bestFit="1" customWidth="1"/>
  </cols>
  <sheetData>
    <row r="1" spans="1:8" x14ac:dyDescent="0.25">
      <c r="A1"/>
    </row>
    <row r="2" spans="1:8" x14ac:dyDescent="0.25">
      <c r="A2"/>
    </row>
    <row r="3" spans="1:8" x14ac:dyDescent="0.25">
      <c r="A3"/>
    </row>
    <row r="4" spans="1:8" x14ac:dyDescent="0.25">
      <c r="A4"/>
    </row>
    <row r="5" spans="1:8" x14ac:dyDescent="0.25">
      <c r="A5"/>
    </row>
    <row r="6" spans="1:8" x14ac:dyDescent="0.25">
      <c r="A6"/>
    </row>
    <row r="7" spans="1:8" x14ac:dyDescent="0.25">
      <c r="A7" s="179" t="s">
        <v>448</v>
      </c>
      <c r="B7" s="172"/>
      <c r="C7" s="172"/>
      <c r="D7" s="172"/>
      <c r="E7" s="172"/>
      <c r="F7" s="172"/>
      <c r="G7" s="172"/>
      <c r="H7" s="172"/>
    </row>
    <row r="8" spans="1:8" x14ac:dyDescent="0.25">
      <c r="A8" s="113" t="s">
        <v>449</v>
      </c>
      <c r="B8" s="113"/>
      <c r="C8" s="113"/>
      <c r="D8" s="113"/>
      <c r="E8" s="113"/>
      <c r="F8" s="113"/>
      <c r="G8" s="113"/>
      <c r="H8" s="113"/>
    </row>
    <row r="9" spans="1:8" x14ac:dyDescent="0.25">
      <c r="A9" s="181" t="s">
        <v>450</v>
      </c>
      <c r="B9" s="172"/>
      <c r="C9" s="172"/>
      <c r="D9" s="172"/>
      <c r="E9" s="172"/>
      <c r="F9" s="172"/>
      <c r="G9" s="172"/>
      <c r="H9" s="172"/>
    </row>
    <row r="10" spans="1:8" x14ac:dyDescent="0.25">
      <c r="A10" s="181" t="s">
        <v>470</v>
      </c>
      <c r="B10" s="172"/>
      <c r="C10" s="172"/>
      <c r="D10" s="172"/>
      <c r="E10" s="172"/>
      <c r="F10" s="172"/>
      <c r="G10" s="172"/>
      <c r="H10" s="172"/>
    </row>
    <row r="11" spans="1:8" x14ac:dyDescent="0.25">
      <c r="A11" s="113" t="s">
        <v>4</v>
      </c>
      <c r="B11" s="113" t="s">
        <v>4</v>
      </c>
      <c r="C11" s="113"/>
      <c r="D11" s="113"/>
      <c r="E11" s="113"/>
      <c r="F11" s="113"/>
      <c r="G11" s="113"/>
      <c r="H11" s="113"/>
    </row>
    <row r="12" spans="1:8" x14ac:dyDescent="0.25">
      <c r="A12" s="172" t="s">
        <v>451</v>
      </c>
      <c r="B12" s="172"/>
      <c r="C12" s="172"/>
      <c r="D12" s="172"/>
      <c r="E12" s="172"/>
      <c r="F12" s="172"/>
      <c r="G12" s="172"/>
      <c r="H12" s="172"/>
    </row>
    <row r="13" spans="1:8" x14ac:dyDescent="0.25">
      <c r="A13" s="113"/>
      <c r="B13" s="113"/>
      <c r="C13" s="113"/>
      <c r="D13" s="113"/>
      <c r="E13" s="113"/>
      <c r="F13" s="113"/>
      <c r="G13" s="113"/>
      <c r="H13" s="113"/>
    </row>
    <row r="14" spans="1:8" x14ac:dyDescent="0.25">
      <c r="A14" s="172" t="s">
        <v>471</v>
      </c>
      <c r="B14" s="172"/>
      <c r="C14" s="172"/>
      <c r="D14" s="172"/>
      <c r="E14" s="172"/>
      <c r="F14" s="172"/>
      <c r="G14" s="172"/>
      <c r="H14" s="172"/>
    </row>
    <row r="15" spans="1:8" x14ac:dyDescent="0.25">
      <c r="A15" s="113"/>
      <c r="B15" s="113"/>
      <c r="C15" s="113"/>
      <c r="D15" s="113"/>
      <c r="E15" s="113"/>
      <c r="F15" s="113"/>
      <c r="G15" s="113"/>
      <c r="H15" s="113"/>
    </row>
    <row r="16" spans="1:8" x14ac:dyDescent="0.25">
      <c r="A16" s="114" t="s">
        <v>452</v>
      </c>
      <c r="B16" s="114" t="s">
        <v>453</v>
      </c>
      <c r="C16" s="114" t="s">
        <v>454</v>
      </c>
      <c r="D16" s="114" t="s">
        <v>455</v>
      </c>
      <c r="E16" s="114" t="s">
        <v>456</v>
      </c>
      <c r="F16" s="114" t="s">
        <v>457</v>
      </c>
      <c r="G16" s="114" t="s">
        <v>458</v>
      </c>
      <c r="H16" s="114" t="s">
        <v>459</v>
      </c>
    </row>
    <row r="17" spans="1:8" ht="45" x14ac:dyDescent="0.25">
      <c r="A17" s="113" t="s">
        <v>503</v>
      </c>
      <c r="B17" s="137" t="s">
        <v>508</v>
      </c>
      <c r="C17" s="113" t="s">
        <v>460</v>
      </c>
      <c r="D17" s="113" t="s">
        <v>507</v>
      </c>
      <c r="E17" s="136">
        <v>2</v>
      </c>
      <c r="F17" s="115">
        <f>5.89+33.03</f>
        <v>38.92</v>
      </c>
      <c r="G17" s="115">
        <f>F17*E17</f>
        <v>77.84</v>
      </c>
      <c r="H17" s="115">
        <v>2</v>
      </c>
    </row>
    <row r="18" spans="1:8" ht="45" x14ac:dyDescent="0.25">
      <c r="A18" s="136" t="s">
        <v>503</v>
      </c>
      <c r="B18" s="137" t="s">
        <v>508</v>
      </c>
      <c r="C18" s="136" t="s">
        <v>462</v>
      </c>
      <c r="D18" s="136" t="s">
        <v>507</v>
      </c>
      <c r="E18" s="136">
        <v>2</v>
      </c>
      <c r="F18" s="115">
        <v>14.16</v>
      </c>
      <c r="G18" s="115">
        <f>F18*E18</f>
        <v>28.32</v>
      </c>
      <c r="H18" s="115">
        <v>2</v>
      </c>
    </row>
    <row r="19" spans="1:8" ht="45" x14ac:dyDescent="0.25">
      <c r="A19" s="136" t="s">
        <v>504</v>
      </c>
      <c r="B19" s="137" t="s">
        <v>505</v>
      </c>
      <c r="C19" s="113" t="s">
        <v>460</v>
      </c>
      <c r="D19" s="113" t="s">
        <v>506</v>
      </c>
      <c r="E19" s="136">
        <v>6</v>
      </c>
      <c r="F19" s="115">
        <f>2.9+4.07</f>
        <v>6.9700000000000006</v>
      </c>
      <c r="G19" s="115">
        <f t="shared" ref="G19:G21" si="0">F19*E19</f>
        <v>41.820000000000007</v>
      </c>
      <c r="H19" s="115">
        <v>6</v>
      </c>
    </row>
    <row r="20" spans="1:8" ht="45" x14ac:dyDescent="0.25">
      <c r="A20" s="136" t="s">
        <v>504</v>
      </c>
      <c r="B20" s="137" t="s">
        <v>505</v>
      </c>
      <c r="C20" s="136" t="s">
        <v>462</v>
      </c>
      <c r="D20" s="136" t="s">
        <v>506</v>
      </c>
      <c r="E20" s="136">
        <v>6</v>
      </c>
      <c r="F20" s="115">
        <v>14.16</v>
      </c>
      <c r="G20" s="115">
        <f t="shared" ref="G20" si="1">F20*E20</f>
        <v>84.960000000000008</v>
      </c>
      <c r="H20" s="115">
        <v>6</v>
      </c>
    </row>
    <row r="21" spans="1:8" x14ac:dyDescent="0.25">
      <c r="A21" s="113" t="s">
        <v>502</v>
      </c>
      <c r="B21" s="137" t="s">
        <v>501</v>
      </c>
      <c r="C21" s="113" t="s">
        <v>462</v>
      </c>
      <c r="D21" s="113" t="s">
        <v>461</v>
      </c>
      <c r="E21" s="136">
        <v>8</v>
      </c>
      <c r="F21" s="115">
        <v>9.33</v>
      </c>
      <c r="G21" s="115">
        <f t="shared" si="0"/>
        <v>74.64</v>
      </c>
      <c r="H21" s="115">
        <v>8</v>
      </c>
    </row>
    <row r="22" spans="1:8" x14ac:dyDescent="0.25">
      <c r="A22" s="136" t="s">
        <v>502</v>
      </c>
      <c r="B22" s="137" t="s">
        <v>501</v>
      </c>
      <c r="C22" s="136" t="s">
        <v>460</v>
      </c>
      <c r="D22" s="136" t="s">
        <v>461</v>
      </c>
      <c r="E22" s="136">
        <v>8</v>
      </c>
      <c r="F22" s="115">
        <v>4.8</v>
      </c>
      <c r="G22" s="115">
        <f t="shared" ref="G22" si="2">F22*E22</f>
        <v>38.4</v>
      </c>
      <c r="H22" s="115">
        <v>8</v>
      </c>
    </row>
    <row r="23" spans="1:8" x14ac:dyDescent="0.25">
      <c r="A23" s="113"/>
      <c r="B23" s="113"/>
      <c r="C23" s="113"/>
      <c r="D23" s="113"/>
      <c r="E23" s="113"/>
      <c r="F23" s="113"/>
      <c r="G23" s="113"/>
      <c r="H23" s="113"/>
    </row>
    <row r="24" spans="1:8" x14ac:dyDescent="0.25">
      <c r="A24" s="113"/>
      <c r="B24" s="113"/>
      <c r="C24" s="113"/>
      <c r="D24" s="113"/>
      <c r="E24" s="113"/>
      <c r="F24" s="113"/>
      <c r="G24" s="113"/>
      <c r="H24" s="113"/>
    </row>
    <row r="25" spans="1:8" x14ac:dyDescent="0.25">
      <c r="A25" s="113"/>
      <c r="B25" s="113"/>
      <c r="C25" s="113"/>
      <c r="D25" s="113"/>
      <c r="E25" s="113"/>
      <c r="F25" s="113" t="s">
        <v>463</v>
      </c>
      <c r="G25" s="115">
        <f>G21+G20+G18</f>
        <v>187.92000000000002</v>
      </c>
      <c r="H25" s="113"/>
    </row>
    <row r="26" spans="1:8" x14ac:dyDescent="0.25">
      <c r="A26" s="113"/>
      <c r="B26" s="113"/>
      <c r="C26" s="113"/>
      <c r="D26" s="113"/>
      <c r="E26" s="113"/>
      <c r="F26" s="113" t="s">
        <v>464</v>
      </c>
      <c r="G26" s="115">
        <f>G17+G19+G22</f>
        <v>158.06</v>
      </c>
      <c r="H26" s="113"/>
    </row>
    <row r="27" spans="1:8" x14ac:dyDescent="0.25">
      <c r="A27" s="113"/>
      <c r="B27" s="113"/>
      <c r="C27" s="113"/>
      <c r="D27" s="113"/>
      <c r="E27" s="113"/>
      <c r="F27" s="113" t="s">
        <v>465</v>
      </c>
      <c r="G27" s="115">
        <f>G25+G26</f>
        <v>345.98</v>
      </c>
      <c r="H27" s="113"/>
    </row>
    <row r="28" spans="1:8" x14ac:dyDescent="0.25">
      <c r="A28" s="113"/>
      <c r="B28" s="113"/>
      <c r="C28" s="113"/>
      <c r="D28" s="113"/>
      <c r="E28" s="113"/>
      <c r="F28" s="113"/>
      <c r="G28" s="113"/>
      <c r="H28" s="113"/>
    </row>
    <row r="29" spans="1:8" x14ac:dyDescent="0.25">
      <c r="A29" s="113"/>
      <c r="B29" s="113"/>
      <c r="C29" s="113"/>
      <c r="D29" s="113"/>
      <c r="E29" s="113"/>
      <c r="F29" s="113"/>
      <c r="G29" s="113"/>
      <c r="H29" s="113"/>
    </row>
    <row r="30" spans="1:8" x14ac:dyDescent="0.25">
      <c r="A30" s="179" t="s">
        <v>466</v>
      </c>
      <c r="B30" s="172"/>
      <c r="C30" s="172"/>
      <c r="D30" s="172"/>
      <c r="E30" s="172"/>
      <c r="F30" s="172"/>
      <c r="G30" s="172"/>
      <c r="H30" s="172"/>
    </row>
    <row r="31" spans="1:8" x14ac:dyDescent="0.25">
      <c r="A31" s="113" t="s">
        <v>469</v>
      </c>
      <c r="B31" s="113"/>
      <c r="C31" s="113"/>
      <c r="D31" s="113"/>
      <c r="E31" s="113"/>
      <c r="F31" s="113"/>
      <c r="G31" s="113"/>
      <c r="H31" s="113"/>
    </row>
    <row r="32" spans="1:8" x14ac:dyDescent="0.25">
      <c r="A32" s="179" t="s">
        <v>467</v>
      </c>
      <c r="B32" s="172"/>
      <c r="C32" s="172"/>
      <c r="D32" s="172"/>
      <c r="E32" s="172"/>
      <c r="F32" s="172"/>
      <c r="G32" s="172"/>
      <c r="H32" s="172"/>
    </row>
    <row r="33" spans="1:8" ht="122.25" customHeight="1" x14ac:dyDescent="0.25">
      <c r="A33" s="174" t="s">
        <v>468</v>
      </c>
      <c r="B33" s="172"/>
      <c r="C33" s="172"/>
      <c r="D33" s="172"/>
      <c r="E33" s="172"/>
      <c r="F33" s="172"/>
      <c r="G33" s="172"/>
      <c r="H33" s="172"/>
    </row>
    <row r="34" spans="1:8" x14ac:dyDescent="0.25">
      <c r="A34"/>
    </row>
    <row r="35" spans="1:8" x14ac:dyDescent="0.25">
      <c r="A35" s="143">
        <v>93572</v>
      </c>
    </row>
    <row r="48" spans="1:8" x14ac:dyDescent="0.25">
      <c r="A48" s="143" t="s">
        <v>499</v>
      </c>
    </row>
    <row r="64" spans="1:1" x14ac:dyDescent="0.25">
      <c r="A64" s="143">
        <v>90777</v>
      </c>
    </row>
    <row r="78" spans="1:1" x14ac:dyDescent="0.25">
      <c r="A78" s="143">
        <v>98459</v>
      </c>
    </row>
    <row r="96" spans="1:1" x14ac:dyDescent="0.25">
      <c r="A96" s="143">
        <v>97637</v>
      </c>
    </row>
    <row r="109" spans="1:1" x14ac:dyDescent="0.25">
      <c r="A109" s="143">
        <v>97635</v>
      </c>
    </row>
    <row r="117" spans="1:1" x14ac:dyDescent="0.25">
      <c r="A117" s="143">
        <v>97627</v>
      </c>
    </row>
    <row r="130" spans="1:1" x14ac:dyDescent="0.25">
      <c r="A130" s="143" t="s">
        <v>517</v>
      </c>
    </row>
    <row r="137" spans="1:1" x14ac:dyDescent="0.25">
      <c r="A137" s="143" t="s">
        <v>331</v>
      </c>
    </row>
    <row r="142" spans="1:1" x14ac:dyDescent="0.25">
      <c r="A142" s="143">
        <v>97064</v>
      </c>
    </row>
    <row r="154" spans="1:1" x14ac:dyDescent="0.25">
      <c r="A154" s="143">
        <v>101009</v>
      </c>
    </row>
    <row r="167" spans="1:1" x14ac:dyDescent="0.25">
      <c r="A167" s="143">
        <v>94213</v>
      </c>
    </row>
    <row r="182" spans="2:6" x14ac:dyDescent="0.25">
      <c r="B182" t="s">
        <v>529</v>
      </c>
      <c r="C182" t="s">
        <v>532</v>
      </c>
    </row>
    <row r="185" spans="2:6" x14ac:dyDescent="0.25">
      <c r="B185" t="s">
        <v>530</v>
      </c>
      <c r="C185" t="s">
        <v>531</v>
      </c>
    </row>
    <row r="186" spans="2:6" x14ac:dyDescent="0.25">
      <c r="C186">
        <v>94.66</v>
      </c>
    </row>
    <row r="189" spans="2:6" x14ac:dyDescent="0.25">
      <c r="C189" s="142" t="s">
        <v>533</v>
      </c>
      <c r="D189" s="142"/>
      <c r="E189" s="142"/>
      <c r="F189" s="142">
        <f>45.59-40.89+C186</f>
        <v>99.36</v>
      </c>
    </row>
    <row r="190" spans="2:6" x14ac:dyDescent="0.25">
      <c r="C190" s="142" t="s">
        <v>534</v>
      </c>
      <c r="D190" s="142"/>
      <c r="E190" s="142"/>
      <c r="F190" s="142">
        <f>2.14</f>
        <v>2.14</v>
      </c>
    </row>
    <row r="191" spans="2:6" x14ac:dyDescent="0.25">
      <c r="C191" s="142" t="s">
        <v>535</v>
      </c>
      <c r="D191" s="142"/>
      <c r="E191" s="142"/>
      <c r="F191" s="142">
        <f>F189+F190</f>
        <v>101.5</v>
      </c>
    </row>
    <row r="194" spans="1:1" x14ac:dyDescent="0.25">
      <c r="A194" s="143">
        <v>83694</v>
      </c>
    </row>
    <row r="203" spans="1:1" x14ac:dyDescent="0.25">
      <c r="A203" s="143">
        <v>101173</v>
      </c>
    </row>
    <row r="216" spans="1:1" x14ac:dyDescent="0.25">
      <c r="A216" s="143">
        <v>96523</v>
      </c>
    </row>
    <row r="225" spans="1:1" x14ac:dyDescent="0.25">
      <c r="A225" s="143">
        <v>94994</v>
      </c>
    </row>
    <row r="243" spans="1:1" x14ac:dyDescent="0.25">
      <c r="A243" s="143">
        <v>96528</v>
      </c>
    </row>
    <row r="263" spans="1:1" x14ac:dyDescent="0.25">
      <c r="A263" s="143">
        <v>96545</v>
      </c>
    </row>
    <row r="275" spans="1:1" x14ac:dyDescent="0.25">
      <c r="A275" s="143">
        <v>96555</v>
      </c>
    </row>
    <row r="291" spans="1:9" s="136" customFormat="1" x14ac:dyDescent="0.25">
      <c r="A291" s="150" t="s">
        <v>543</v>
      </c>
      <c r="B291" s="151"/>
      <c r="C291" s="152"/>
      <c r="D291" s="152"/>
      <c r="E291" s="152"/>
      <c r="F291" s="152"/>
      <c r="G291" s="152"/>
      <c r="H291" s="152"/>
      <c r="I291" s="152"/>
    </row>
    <row r="292" spans="1:9" s="136" customFormat="1" x14ac:dyDescent="0.25">
      <c r="A292" s="150" t="s">
        <v>544</v>
      </c>
      <c r="B292" s="151"/>
      <c r="C292" s="152"/>
      <c r="D292" s="152"/>
      <c r="E292" s="152"/>
      <c r="F292" s="152"/>
      <c r="G292" s="152"/>
      <c r="H292" s="152"/>
      <c r="I292" s="152"/>
    </row>
    <row r="293" spans="1:9" s="136" customFormat="1" x14ac:dyDescent="0.25"/>
    <row r="294" spans="1:9" s="136" customFormat="1" x14ac:dyDescent="0.25">
      <c r="B294" s="172" t="s">
        <v>545</v>
      </c>
      <c r="C294" s="172"/>
      <c r="D294" s="172"/>
      <c r="E294" s="172"/>
      <c r="F294" s="172"/>
      <c r="G294" s="172"/>
      <c r="H294" s="172"/>
      <c r="I294" s="172"/>
    </row>
    <row r="295" spans="1:9" s="136" customFormat="1" x14ac:dyDescent="0.25"/>
    <row r="296" spans="1:9" s="136" customFormat="1" x14ac:dyDescent="0.25">
      <c r="B296" s="172" t="s">
        <v>546</v>
      </c>
      <c r="C296" s="172"/>
      <c r="D296" s="172"/>
      <c r="E296" s="172"/>
      <c r="F296" s="172"/>
      <c r="G296" s="172"/>
      <c r="H296" s="172"/>
      <c r="I296" s="172"/>
    </row>
    <row r="297" spans="1:9" s="136" customFormat="1" x14ac:dyDescent="0.25"/>
    <row r="298" spans="1:9" s="136" customFormat="1" x14ac:dyDescent="0.25">
      <c r="B298" s="135" t="s">
        <v>452</v>
      </c>
      <c r="C298" s="135" t="s">
        <v>453</v>
      </c>
      <c r="D298" s="135" t="s">
        <v>454</v>
      </c>
      <c r="E298" s="135" t="s">
        <v>455</v>
      </c>
      <c r="F298" s="135" t="s">
        <v>456</v>
      </c>
      <c r="G298" s="135" t="s">
        <v>457</v>
      </c>
      <c r="H298" s="135" t="s">
        <v>547</v>
      </c>
      <c r="I298" s="135" t="s">
        <v>459</v>
      </c>
    </row>
    <row r="299" spans="1:9" s="136" customFormat="1" ht="30" x14ac:dyDescent="0.25">
      <c r="B299" s="136" t="s">
        <v>502</v>
      </c>
      <c r="C299" s="137" t="s">
        <v>501</v>
      </c>
      <c r="D299" s="136" t="s">
        <v>462</v>
      </c>
      <c r="E299" s="136" t="s">
        <v>461</v>
      </c>
      <c r="F299" s="107">
        <v>3.1</v>
      </c>
      <c r="G299" s="107">
        <v>9.33</v>
      </c>
      <c r="H299" s="107">
        <f>F299*G299</f>
        <v>28.923000000000002</v>
      </c>
      <c r="I299" s="107">
        <f>F299</f>
        <v>3.1</v>
      </c>
    </row>
    <row r="300" spans="1:9" s="136" customFormat="1" ht="30" x14ac:dyDescent="0.25">
      <c r="B300" s="136" t="s">
        <v>502</v>
      </c>
      <c r="C300" s="137" t="s">
        <v>501</v>
      </c>
      <c r="D300" s="136" t="s">
        <v>460</v>
      </c>
      <c r="E300" s="136" t="s">
        <v>461</v>
      </c>
      <c r="F300" s="107">
        <v>3.1</v>
      </c>
      <c r="G300" s="107">
        <v>4.8</v>
      </c>
      <c r="H300" s="107">
        <f>F300*G300</f>
        <v>14.879999999999999</v>
      </c>
      <c r="I300" s="107">
        <f>F300</f>
        <v>3.1</v>
      </c>
    </row>
    <row r="301" spans="1:9" s="136" customFormat="1" x14ac:dyDescent="0.25">
      <c r="B301" s="153"/>
      <c r="C301" s="154"/>
      <c r="D301" s="153"/>
      <c r="E301" s="153"/>
      <c r="F301" s="153"/>
      <c r="G301" s="153"/>
      <c r="H301" s="155"/>
      <c r="I301" s="155"/>
    </row>
    <row r="302" spans="1:9" s="136" customFormat="1" x14ac:dyDescent="0.25"/>
    <row r="303" spans="1:9" s="136" customFormat="1" x14ac:dyDescent="0.25">
      <c r="G303" s="156" t="s">
        <v>548</v>
      </c>
      <c r="H303" s="157">
        <f>H299</f>
        <v>28.923000000000002</v>
      </c>
    </row>
    <row r="304" spans="1:9" s="136" customFormat="1" x14ac:dyDescent="0.25">
      <c r="G304" s="156" t="s">
        <v>549</v>
      </c>
      <c r="H304" s="157">
        <f>H300</f>
        <v>14.879999999999999</v>
      </c>
    </row>
    <row r="305" spans="2:9" s="136" customFormat="1" x14ac:dyDescent="0.25">
      <c r="G305" s="156" t="s">
        <v>550</v>
      </c>
      <c r="H305" s="157">
        <f>SUM(H303:H304)</f>
        <v>43.802999999999997</v>
      </c>
    </row>
    <row r="306" spans="2:9" s="136" customFormat="1" x14ac:dyDescent="0.25"/>
    <row r="307" spans="2:9" s="136" customFormat="1" x14ac:dyDescent="0.25">
      <c r="B307" s="181"/>
      <c r="C307" s="172"/>
      <c r="D307" s="172"/>
      <c r="E307" s="172"/>
      <c r="F307" s="172"/>
      <c r="G307" s="172"/>
      <c r="H307" s="172"/>
      <c r="I307" s="172"/>
    </row>
    <row r="308" spans="2:9" s="136" customFormat="1" x14ac:dyDescent="0.25"/>
    <row r="309" spans="2:9" s="136" customFormat="1" x14ac:dyDescent="0.25"/>
    <row r="310" spans="2:9" s="136" customFormat="1" x14ac:dyDescent="0.25"/>
    <row r="311" spans="2:9" s="136" customFormat="1" x14ac:dyDescent="0.25"/>
    <row r="312" spans="2:9" s="136" customFormat="1" x14ac:dyDescent="0.25"/>
    <row r="313" spans="2:9" s="136" customFormat="1" x14ac:dyDescent="0.25">
      <c r="B313" s="179" t="s">
        <v>466</v>
      </c>
      <c r="C313" s="172"/>
      <c r="D313" s="172"/>
      <c r="E313" s="172"/>
      <c r="F313" s="172"/>
      <c r="G313" s="172"/>
      <c r="H313" s="172"/>
      <c r="I313" s="172"/>
    </row>
    <row r="314" spans="2:9" s="136" customFormat="1" ht="15" customHeight="1" x14ac:dyDescent="0.25">
      <c r="B314" s="180"/>
      <c r="C314" s="172"/>
      <c r="D314" s="172"/>
      <c r="E314" s="172"/>
      <c r="F314" s="172"/>
      <c r="G314" s="172"/>
      <c r="H314" s="172"/>
      <c r="I314" s="172"/>
    </row>
    <row r="315" spans="2:9" s="136" customFormat="1" ht="15" customHeight="1" x14ac:dyDescent="0.25">
      <c r="B315" s="174"/>
      <c r="C315" s="172"/>
      <c r="D315" s="172"/>
      <c r="E315" s="172"/>
      <c r="F315" s="172"/>
      <c r="G315" s="172"/>
      <c r="H315" s="172"/>
      <c r="I315" s="172"/>
    </row>
    <row r="316" spans="2:9" s="136" customFormat="1" ht="15" customHeight="1" x14ac:dyDescent="0.25">
      <c r="B316" s="180"/>
      <c r="C316" s="172"/>
      <c r="D316" s="172"/>
      <c r="E316" s="172"/>
      <c r="F316" s="172"/>
      <c r="G316" s="172"/>
      <c r="H316" s="172"/>
      <c r="I316" s="172"/>
    </row>
    <row r="317" spans="2:9" s="136" customFormat="1" ht="15" customHeight="1" x14ac:dyDescent="0.25">
      <c r="B317" s="174"/>
      <c r="C317" s="172"/>
      <c r="D317" s="172"/>
      <c r="E317" s="172"/>
      <c r="F317" s="172"/>
      <c r="G317" s="172"/>
      <c r="H317" s="172"/>
      <c r="I317" s="172"/>
    </row>
    <row r="318" spans="2:9" s="136" customFormat="1" x14ac:dyDescent="0.25">
      <c r="B318" s="180"/>
      <c r="C318" s="172"/>
      <c r="D318" s="172"/>
      <c r="E318" s="172"/>
      <c r="F318" s="172"/>
      <c r="G318" s="172"/>
      <c r="H318" s="172"/>
      <c r="I318" s="172"/>
    </row>
    <row r="319" spans="2:9" s="136" customFormat="1" x14ac:dyDescent="0.25">
      <c r="B319" s="174"/>
      <c r="C319" s="172"/>
      <c r="D319" s="172"/>
      <c r="E319" s="172"/>
      <c r="F319" s="172"/>
      <c r="G319" s="172"/>
      <c r="H319" s="172"/>
      <c r="I319" s="172"/>
    </row>
    <row r="320" spans="2:9" s="136" customFormat="1" x14ac:dyDescent="0.25">
      <c r="B320" s="174"/>
      <c r="C320" s="172"/>
      <c r="D320" s="172"/>
      <c r="E320" s="172"/>
      <c r="F320" s="172"/>
      <c r="G320" s="172"/>
      <c r="H320" s="172"/>
      <c r="I320" s="172"/>
    </row>
    <row r="321" spans="1:9" s="136" customFormat="1" x14ac:dyDescent="0.25"/>
    <row r="322" spans="1:9" s="136" customFormat="1" x14ac:dyDescent="0.25">
      <c r="B322" s="179" t="s">
        <v>467</v>
      </c>
      <c r="C322" s="172"/>
      <c r="D322" s="172"/>
      <c r="E322" s="172"/>
      <c r="F322" s="172"/>
      <c r="G322" s="172"/>
      <c r="H322" s="172"/>
      <c r="I322" s="172"/>
    </row>
    <row r="323" spans="1:9" s="136" customFormat="1" ht="149.25" customHeight="1" x14ac:dyDescent="0.25">
      <c r="B323" s="174" t="s">
        <v>468</v>
      </c>
      <c r="C323" s="172"/>
      <c r="D323" s="172"/>
      <c r="E323" s="172"/>
      <c r="F323" s="172"/>
      <c r="G323" s="172"/>
      <c r="H323" s="172"/>
      <c r="I323" s="172"/>
    </row>
    <row r="325" spans="1:9" x14ac:dyDescent="0.25">
      <c r="A325" s="143">
        <v>99814</v>
      </c>
    </row>
    <row r="337" spans="1:8" s="140" customFormat="1" x14ac:dyDescent="0.25">
      <c r="A337" s="176"/>
      <c r="B337" s="172"/>
      <c r="C337" s="172"/>
      <c r="D337" s="172"/>
      <c r="E337" s="172"/>
      <c r="F337" s="172"/>
      <c r="G337" s="172"/>
      <c r="H337" s="172"/>
    </row>
    <row r="338" spans="1:8" s="140" customFormat="1" x14ac:dyDescent="0.25"/>
    <row r="339" spans="1:8" s="140" customFormat="1" x14ac:dyDescent="0.25">
      <c r="A339" s="177" t="s">
        <v>556</v>
      </c>
      <c r="B339" s="178"/>
      <c r="C339" s="178"/>
      <c r="D339" s="178"/>
      <c r="E339" s="178"/>
      <c r="F339" s="178"/>
      <c r="G339" s="178"/>
      <c r="H339" s="178"/>
    </row>
    <row r="340" spans="1:8" s="140" customFormat="1" x14ac:dyDescent="0.25">
      <c r="A340" s="177" t="s">
        <v>557</v>
      </c>
      <c r="B340" s="178"/>
      <c r="C340" s="178"/>
      <c r="D340" s="178"/>
      <c r="E340" s="178"/>
      <c r="F340" s="178"/>
      <c r="G340" s="178"/>
      <c r="H340" s="178"/>
    </row>
    <row r="341" spans="1:8" s="140" customFormat="1" x14ac:dyDescent="0.25"/>
    <row r="342" spans="1:8" s="140" customFormat="1" x14ac:dyDescent="0.25">
      <c r="A342" s="172" t="s">
        <v>545</v>
      </c>
      <c r="B342" s="172"/>
      <c r="C342" s="172"/>
      <c r="D342" s="172"/>
      <c r="E342" s="172"/>
      <c r="F342" s="172"/>
      <c r="G342" s="172"/>
      <c r="H342" s="172"/>
    </row>
    <row r="343" spans="1:8" s="140" customFormat="1" x14ac:dyDescent="0.25"/>
    <row r="344" spans="1:8" s="140" customFormat="1" x14ac:dyDescent="0.25">
      <c r="A344" s="172" t="s">
        <v>566</v>
      </c>
      <c r="B344" s="172"/>
      <c r="C344" s="172"/>
      <c r="D344" s="172"/>
      <c r="E344" s="172"/>
      <c r="F344" s="172"/>
      <c r="G344" s="172"/>
      <c r="H344" s="172"/>
    </row>
    <row r="345" spans="1:8" s="140" customFormat="1" x14ac:dyDescent="0.25"/>
    <row r="346" spans="1:8" s="140" customFormat="1" x14ac:dyDescent="0.25">
      <c r="A346" s="159" t="s">
        <v>452</v>
      </c>
      <c r="B346" s="159" t="s">
        <v>453</v>
      </c>
      <c r="C346" s="159" t="s">
        <v>454</v>
      </c>
      <c r="D346" s="159" t="s">
        <v>455</v>
      </c>
      <c r="E346" s="159" t="s">
        <v>456</v>
      </c>
      <c r="F346" s="159" t="s">
        <v>457</v>
      </c>
      <c r="G346" s="159" t="s">
        <v>547</v>
      </c>
      <c r="H346" s="159" t="s">
        <v>459</v>
      </c>
    </row>
    <row r="347" spans="1:8" s="140" customFormat="1" x14ac:dyDescent="0.25">
      <c r="A347" s="140" t="s">
        <v>569</v>
      </c>
      <c r="B347" s="141" t="s">
        <v>568</v>
      </c>
      <c r="C347" s="140" t="s">
        <v>462</v>
      </c>
      <c r="D347" s="140" t="s">
        <v>461</v>
      </c>
      <c r="E347" s="140">
        <v>0.5</v>
      </c>
      <c r="F347" s="140">
        <v>12.51</v>
      </c>
      <c r="G347" s="140">
        <f t="shared" ref="G347:G352" si="3">TRUNC(E347*F347,2)</f>
        <v>6.25</v>
      </c>
      <c r="H347" s="140">
        <f t="shared" ref="H347:H352" si="4">E347</f>
        <v>0.5</v>
      </c>
    </row>
    <row r="348" spans="1:8" s="140" customFormat="1" x14ac:dyDescent="0.25">
      <c r="A348" s="140" t="s">
        <v>569</v>
      </c>
      <c r="B348" s="141" t="s">
        <v>568</v>
      </c>
      <c r="C348" s="140" t="s">
        <v>460</v>
      </c>
      <c r="D348" s="140" t="s">
        <v>461</v>
      </c>
      <c r="E348" s="140">
        <v>0.5</v>
      </c>
      <c r="F348" s="140">
        <v>4.8600000000000003</v>
      </c>
      <c r="G348" s="140">
        <f t="shared" si="3"/>
        <v>2.4300000000000002</v>
      </c>
      <c r="H348" s="140">
        <f t="shared" si="4"/>
        <v>0.5</v>
      </c>
    </row>
    <row r="349" spans="1:8" s="140" customFormat="1" ht="30" x14ac:dyDescent="0.25">
      <c r="A349" s="140" t="s">
        <v>571</v>
      </c>
      <c r="B349" s="141" t="s">
        <v>570</v>
      </c>
      <c r="C349" s="140" t="s">
        <v>462</v>
      </c>
      <c r="D349" s="140" t="s">
        <v>461</v>
      </c>
      <c r="E349" s="140">
        <v>0.5</v>
      </c>
      <c r="F349" s="140">
        <v>9.14</v>
      </c>
      <c r="G349" s="140">
        <f t="shared" si="3"/>
        <v>4.57</v>
      </c>
      <c r="H349" s="140">
        <f t="shared" si="4"/>
        <v>0.5</v>
      </c>
    </row>
    <row r="350" spans="1:8" s="140" customFormat="1" ht="30" x14ac:dyDescent="0.25">
      <c r="A350" s="140" t="s">
        <v>571</v>
      </c>
      <c r="B350" s="141" t="s">
        <v>570</v>
      </c>
      <c r="C350" s="140" t="s">
        <v>460</v>
      </c>
      <c r="D350" s="140" t="s">
        <v>461</v>
      </c>
      <c r="E350" s="140">
        <v>0.5</v>
      </c>
      <c r="F350" s="140">
        <v>4.8600000000000003</v>
      </c>
      <c r="G350" s="140">
        <f t="shared" si="3"/>
        <v>2.4300000000000002</v>
      </c>
      <c r="H350" s="140">
        <f t="shared" si="4"/>
        <v>0.5</v>
      </c>
    </row>
    <row r="351" spans="1:8" s="140" customFormat="1" ht="30" x14ac:dyDescent="0.25">
      <c r="A351" s="140" t="s">
        <v>572</v>
      </c>
      <c r="B351" s="141" t="s">
        <v>573</v>
      </c>
      <c r="C351" s="140" t="s">
        <v>460</v>
      </c>
      <c r="D351" s="140" t="s">
        <v>558</v>
      </c>
      <c r="E351" s="140">
        <v>0.2</v>
      </c>
      <c r="F351" s="140">
        <v>33.35</v>
      </c>
      <c r="G351" s="140">
        <f t="shared" si="3"/>
        <v>6.67</v>
      </c>
      <c r="H351" s="140">
        <f t="shared" si="4"/>
        <v>0.2</v>
      </c>
    </row>
    <row r="352" spans="1:8" s="140" customFormat="1" ht="30" x14ac:dyDescent="0.25">
      <c r="A352" s="140" t="s">
        <v>567</v>
      </c>
      <c r="B352" s="141" t="s">
        <v>559</v>
      </c>
      <c r="C352" s="140" t="s">
        <v>460</v>
      </c>
      <c r="D352" s="140" t="s">
        <v>558</v>
      </c>
      <c r="E352" s="140">
        <v>1</v>
      </c>
      <c r="F352" s="156">
        <v>30.15</v>
      </c>
      <c r="G352" s="140">
        <f t="shared" si="3"/>
        <v>30.15</v>
      </c>
      <c r="H352" s="140">
        <f t="shared" si="4"/>
        <v>1</v>
      </c>
    </row>
    <row r="353" spans="1:8" s="140" customFormat="1" ht="30" x14ac:dyDescent="0.25">
      <c r="F353" s="160" t="s">
        <v>548</v>
      </c>
      <c r="G353" s="156">
        <f>G347+G349</f>
        <v>10.82</v>
      </c>
    </row>
    <row r="354" spans="1:8" s="140" customFormat="1" ht="30" x14ac:dyDescent="0.25">
      <c r="F354" s="160" t="s">
        <v>549</v>
      </c>
      <c r="G354" s="156">
        <f>G348+G350+G351+G352</f>
        <v>41.68</v>
      </c>
    </row>
    <row r="355" spans="1:8" s="140" customFormat="1" ht="30" x14ac:dyDescent="0.25">
      <c r="F355" s="160" t="s">
        <v>550</v>
      </c>
      <c r="G355" s="156">
        <f>G353+G354</f>
        <v>52.5</v>
      </c>
    </row>
    <row r="356" spans="1:8" s="140" customFormat="1" x14ac:dyDescent="0.25"/>
    <row r="357" spans="1:8" s="140" customFormat="1" x14ac:dyDescent="0.25">
      <c r="A357" s="173"/>
      <c r="B357" s="172"/>
      <c r="C357" s="172"/>
      <c r="D357" s="172"/>
      <c r="E357" s="172"/>
      <c r="F357" s="172"/>
      <c r="G357" s="172"/>
      <c r="H357" s="172"/>
    </row>
    <row r="358" spans="1:8" s="140" customFormat="1" x14ac:dyDescent="0.25"/>
    <row r="359" spans="1:8" s="140" customFormat="1" x14ac:dyDescent="0.25"/>
    <row r="360" spans="1:8" s="140" customFormat="1" x14ac:dyDescent="0.25"/>
    <row r="361" spans="1:8" s="140" customFormat="1" x14ac:dyDescent="0.25"/>
    <row r="362" spans="1:8" s="140" customFormat="1" x14ac:dyDescent="0.25"/>
    <row r="363" spans="1:8" s="140" customFormat="1" x14ac:dyDescent="0.25">
      <c r="A363" s="176" t="s">
        <v>466</v>
      </c>
      <c r="B363" s="172"/>
      <c r="C363" s="172"/>
      <c r="D363" s="172"/>
      <c r="E363" s="172"/>
      <c r="F363" s="172"/>
      <c r="G363" s="172"/>
      <c r="H363" s="172"/>
    </row>
    <row r="364" spans="1:8" s="140" customFormat="1" x14ac:dyDescent="0.25">
      <c r="A364" s="175" t="s">
        <v>560</v>
      </c>
      <c r="B364" s="172"/>
      <c r="C364" s="172"/>
      <c r="D364" s="172"/>
      <c r="E364" s="172"/>
      <c r="F364" s="172"/>
      <c r="G364" s="172"/>
      <c r="H364" s="172"/>
    </row>
    <row r="365" spans="1:8" s="140" customFormat="1" x14ac:dyDescent="0.25">
      <c r="A365" s="174" t="s">
        <v>561</v>
      </c>
      <c r="B365" s="172"/>
      <c r="C365" s="172"/>
      <c r="D365" s="172"/>
      <c r="E365" s="172"/>
      <c r="F365" s="172"/>
      <c r="G365" s="172"/>
      <c r="H365" s="172"/>
    </row>
    <row r="366" spans="1:8" s="140" customFormat="1" x14ac:dyDescent="0.25">
      <c r="A366" s="175" t="s">
        <v>562</v>
      </c>
      <c r="B366" s="172"/>
      <c r="C366" s="172"/>
      <c r="D366" s="172"/>
      <c r="E366" s="172"/>
      <c r="F366" s="172"/>
      <c r="G366" s="172"/>
      <c r="H366" s="172"/>
    </row>
    <row r="367" spans="1:8" s="140" customFormat="1" x14ac:dyDescent="0.25">
      <c r="A367" s="174" t="s">
        <v>563</v>
      </c>
      <c r="B367" s="172"/>
      <c r="C367" s="172"/>
      <c r="D367" s="172"/>
      <c r="E367" s="172"/>
      <c r="F367" s="172"/>
      <c r="G367" s="172"/>
      <c r="H367" s="172"/>
    </row>
    <row r="368" spans="1:8" s="140" customFormat="1" x14ac:dyDescent="0.25">
      <c r="A368" s="175" t="s">
        <v>564</v>
      </c>
      <c r="B368" s="172"/>
      <c r="C368" s="172"/>
      <c r="D368" s="172"/>
      <c r="E368" s="172"/>
      <c r="F368" s="172"/>
      <c r="G368" s="172"/>
      <c r="H368" s="172"/>
    </row>
    <row r="369" spans="1:8" s="140" customFormat="1" x14ac:dyDescent="0.25">
      <c r="A369" s="174" t="s">
        <v>565</v>
      </c>
      <c r="B369" s="172"/>
      <c r="C369" s="172"/>
      <c r="D369" s="172"/>
      <c r="E369" s="172"/>
      <c r="F369" s="172"/>
      <c r="G369" s="172"/>
      <c r="H369" s="172"/>
    </row>
    <row r="370" spans="1:8" s="140" customFormat="1" x14ac:dyDescent="0.25"/>
    <row r="371" spans="1:8" s="140" customFormat="1" x14ac:dyDescent="0.25">
      <c r="A371" s="176" t="s">
        <v>467</v>
      </c>
      <c r="B371" s="172"/>
      <c r="C371" s="172"/>
      <c r="D371" s="172"/>
      <c r="E371" s="172"/>
      <c r="F371" s="172"/>
      <c r="G371" s="172"/>
      <c r="H371" s="172"/>
    </row>
    <row r="372" spans="1:8" s="140" customFormat="1" ht="200.1" customHeight="1" x14ac:dyDescent="0.25">
      <c r="A372" s="174" t="s">
        <v>468</v>
      </c>
      <c r="B372" s="172"/>
      <c r="C372" s="172"/>
      <c r="D372" s="172"/>
      <c r="E372" s="172"/>
      <c r="F372" s="172"/>
      <c r="G372" s="172"/>
      <c r="H372" s="172"/>
    </row>
    <row r="373" spans="1:8" x14ac:dyDescent="0.25">
      <c r="D373" t="s">
        <v>575</v>
      </c>
      <c r="E373" t="s">
        <v>576</v>
      </c>
      <c r="G373" t="s">
        <v>404</v>
      </c>
    </row>
    <row r="374" spans="1:8" x14ac:dyDescent="0.25">
      <c r="B374" t="s">
        <v>574</v>
      </c>
      <c r="C374">
        <v>26.6</v>
      </c>
      <c r="D374">
        <f>AVERAGE(C374:C376)</f>
        <v>26.213333333333335</v>
      </c>
      <c r="F374">
        <f>D374*0.15</f>
        <v>3.9319999999999999</v>
      </c>
      <c r="G374">
        <f>D374+F374</f>
        <v>30.145333333333333</v>
      </c>
    </row>
    <row r="375" spans="1:8" x14ac:dyDescent="0.25">
      <c r="C375">
        <v>28.14</v>
      </c>
    </row>
    <row r="376" spans="1:8" x14ac:dyDescent="0.25">
      <c r="C376">
        <v>23.9</v>
      </c>
    </row>
  </sheetData>
  <mergeCells count="36">
    <mergeCell ref="A30:H30"/>
    <mergeCell ref="B294:I294"/>
    <mergeCell ref="B296:I296"/>
    <mergeCell ref="B307:I307"/>
    <mergeCell ref="B313:I313"/>
    <mergeCell ref="A7:H7"/>
    <mergeCell ref="A9:H9"/>
    <mergeCell ref="A10:H10"/>
    <mergeCell ref="A12:H12"/>
    <mergeCell ref="A14:H14"/>
    <mergeCell ref="A339:H339"/>
    <mergeCell ref="A337:H337"/>
    <mergeCell ref="A340:H340"/>
    <mergeCell ref="A342:H342"/>
    <mergeCell ref="A32:H32"/>
    <mergeCell ref="A33:H33"/>
    <mergeCell ref="B314:I314"/>
    <mergeCell ref="B320:I320"/>
    <mergeCell ref="B322:I322"/>
    <mergeCell ref="B323:I323"/>
    <mergeCell ref="B315:I315"/>
    <mergeCell ref="B316:I316"/>
    <mergeCell ref="B317:I317"/>
    <mergeCell ref="B318:I318"/>
    <mergeCell ref="B319:I319"/>
    <mergeCell ref="A344:H344"/>
    <mergeCell ref="A357:H357"/>
    <mergeCell ref="A369:H369"/>
    <mergeCell ref="A372:H372"/>
    <mergeCell ref="A366:H366"/>
    <mergeCell ref="A367:H367"/>
    <mergeCell ref="A368:H368"/>
    <mergeCell ref="A371:H371"/>
    <mergeCell ref="A363:H363"/>
    <mergeCell ref="A364:H364"/>
    <mergeCell ref="A365:H3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78"/>
  <sheetViews>
    <sheetView zoomScale="85" zoomScaleNormal="85" workbookViewId="0">
      <pane xSplit="10485" ySplit="2535" topLeftCell="BH1" activePane="topRight"/>
      <selection pane="topRight" activeCell="BT5" sqref="BT5"/>
      <selection pane="bottomLeft" activeCell="A135" sqref="A135:XFD135"/>
      <selection pane="bottomRight" activeCell="BI9" sqref="BI9"/>
    </sheetView>
  </sheetViews>
  <sheetFormatPr defaultRowHeight="15" outlineLevelRow="1" x14ac:dyDescent="0.25"/>
  <cols>
    <col min="1" max="1" width="11.42578125" style="39" bestFit="1" customWidth="1"/>
    <col min="2" max="2" width="6.7109375" style="39" bestFit="1" customWidth="1"/>
    <col min="3" max="3" width="14.28515625" style="39" customWidth="1"/>
    <col min="4" max="4" width="75.28515625" style="39" customWidth="1"/>
    <col min="5" max="5" width="11.140625" style="39" bestFit="1" customWidth="1"/>
    <col min="6" max="6" width="16" style="39" bestFit="1" customWidth="1"/>
    <col min="7" max="8" width="16" style="39" customWidth="1"/>
    <col min="9" max="9" width="13.42578125" style="39" customWidth="1"/>
    <col min="10" max="10" width="15.7109375" style="39" customWidth="1"/>
    <col min="11" max="11" width="9.140625" style="39"/>
    <col min="12" max="12" width="13.5703125" style="39" customWidth="1"/>
    <col min="13" max="13" width="13.85546875" style="39" customWidth="1"/>
    <col min="14" max="14" width="15.85546875" style="39" customWidth="1"/>
    <col min="15" max="15" width="2.7109375" style="39" customWidth="1"/>
    <col min="16" max="16" width="7.140625" style="39" bestFit="1" customWidth="1"/>
    <col min="17" max="17" width="20" style="39" customWidth="1"/>
    <col min="18" max="18" width="2.7109375" style="39" customWidth="1"/>
    <col min="19" max="19" width="12.28515625" style="39" customWidth="1"/>
    <col min="20" max="20" width="9.140625" style="39"/>
    <col min="21" max="21" width="13.85546875" style="39" bestFit="1" customWidth="1"/>
    <col min="22" max="22" width="9.140625" style="39"/>
    <col min="23" max="23" width="13.85546875" style="39" bestFit="1" customWidth="1"/>
    <col min="24" max="24" width="9.140625" style="39"/>
    <col min="25" max="25" width="11.7109375" style="39" bestFit="1" customWidth="1"/>
    <col min="26" max="26" width="9.140625" style="39"/>
    <col min="27" max="27" width="13.85546875" style="39" bestFit="1" customWidth="1"/>
    <col min="28" max="28" width="9.140625" style="39"/>
    <col min="29" max="29" width="13.85546875" style="39" bestFit="1" customWidth="1"/>
    <col min="30" max="30" width="3.42578125" style="39" customWidth="1"/>
    <col min="31" max="31" width="9.140625" style="39"/>
    <col min="32" max="32" width="13.85546875" style="39" bestFit="1" customWidth="1"/>
    <col min="33" max="33" width="11.7109375" style="39" bestFit="1" customWidth="1"/>
    <col min="34" max="34" width="9.140625" style="82"/>
    <col min="35" max="35" width="9.140625" style="39"/>
    <col min="36" max="36" width="11.42578125" style="39" bestFit="1" customWidth="1"/>
    <col min="37" max="37" width="6.7109375" style="39" bestFit="1" customWidth="1"/>
    <col min="38" max="38" width="14.28515625" style="39" customWidth="1"/>
    <col min="39" max="39" width="75.28515625" style="39" customWidth="1"/>
    <col min="40" max="40" width="11.140625" style="39" bestFit="1" customWidth="1"/>
    <col min="41" max="41" width="16" style="39" bestFit="1" customWidth="1"/>
    <col min="42" max="45" width="16" style="39" customWidth="1"/>
    <col min="46" max="46" width="9.140625" style="39"/>
    <col min="47" max="52" width="16" style="39" customWidth="1"/>
    <col min="53" max="53" width="2.7109375" style="39" customWidth="1"/>
    <col min="54" max="54" width="7.140625" style="39" bestFit="1" customWidth="1"/>
    <col min="55" max="55" width="20" style="39" customWidth="1"/>
    <col min="56" max="56" width="2.7109375" style="39" customWidth="1"/>
    <col min="57" max="57" width="12.28515625" style="39" customWidth="1"/>
    <col min="58" max="58" width="9.140625" style="39"/>
    <col min="59" max="59" width="13.85546875" style="39" bestFit="1" customWidth="1"/>
    <col min="60" max="60" width="9.140625" style="39"/>
    <col min="61" max="61" width="13.85546875" style="39" bestFit="1" customWidth="1"/>
    <col min="62" max="62" width="9.140625" style="39"/>
    <col min="63" max="63" width="13.5703125" style="39" customWidth="1"/>
    <col min="64" max="64" width="9.140625" style="39"/>
    <col min="65" max="65" width="13.85546875" style="39" bestFit="1" customWidth="1"/>
    <col min="66" max="66" width="9.140625" style="39"/>
    <col min="67" max="67" width="13.85546875" style="39" bestFit="1" customWidth="1"/>
    <col min="68" max="68" width="3.42578125" style="39" customWidth="1"/>
    <col min="69" max="69" width="9.140625" style="39"/>
    <col min="70" max="70" width="13.85546875" style="39" bestFit="1" customWidth="1"/>
    <col min="71" max="71" width="11.7109375" style="39" bestFit="1" customWidth="1"/>
    <col min="72" max="16384" width="9.140625" style="39"/>
  </cols>
  <sheetData>
    <row r="1" spans="1:71" x14ac:dyDescent="0.25">
      <c r="A1" s="38" t="s">
        <v>410</v>
      </c>
      <c r="AJ1" s="38" t="s">
        <v>410</v>
      </c>
    </row>
    <row r="2" spans="1:71" x14ac:dyDescent="0.25">
      <c r="AJ2" s="83" t="s">
        <v>413</v>
      </c>
    </row>
    <row r="3" spans="1:71" x14ac:dyDescent="0.25">
      <c r="A3" s="38" t="s">
        <v>234</v>
      </c>
      <c r="AJ3" s="38" t="s">
        <v>234</v>
      </c>
    </row>
    <row r="4" spans="1:71" x14ac:dyDescent="0.25">
      <c r="T4" s="40" t="s">
        <v>395</v>
      </c>
      <c r="U4" s="41"/>
      <c r="V4" s="40" t="s">
        <v>396</v>
      </c>
      <c r="W4" s="41"/>
      <c r="X4" s="40" t="s">
        <v>397</v>
      </c>
      <c r="Y4" s="41"/>
      <c r="Z4" s="40" t="s">
        <v>398</v>
      </c>
      <c r="AA4" s="41"/>
      <c r="AB4" s="40" t="s">
        <v>412</v>
      </c>
      <c r="AC4" s="41"/>
      <c r="AE4" s="42" t="s">
        <v>399</v>
      </c>
      <c r="AF4" s="41"/>
      <c r="BF4" s="40" t="s">
        <v>395</v>
      </c>
      <c r="BG4" s="41"/>
      <c r="BH4" s="40" t="s">
        <v>396</v>
      </c>
      <c r="BI4" s="41"/>
      <c r="BJ4" s="40" t="s">
        <v>397</v>
      </c>
      <c r="BK4" s="41"/>
      <c r="BL4" s="40" t="s">
        <v>398</v>
      </c>
      <c r="BM4" s="41"/>
      <c r="BN4" s="40" t="s">
        <v>412</v>
      </c>
      <c r="BO4" s="41"/>
      <c r="BQ4" s="42" t="s">
        <v>399</v>
      </c>
      <c r="BR4" s="41"/>
    </row>
    <row r="5" spans="1:71" ht="75" x14ac:dyDescent="0.25">
      <c r="A5" s="78" t="s">
        <v>0</v>
      </c>
      <c r="B5" s="78" t="s">
        <v>1</v>
      </c>
      <c r="C5" s="78" t="s">
        <v>2</v>
      </c>
      <c r="D5" s="79" t="s">
        <v>3</v>
      </c>
      <c r="E5" s="78" t="s">
        <v>4</v>
      </c>
      <c r="F5" s="80" t="s">
        <v>5</v>
      </c>
      <c r="G5" s="81" t="s">
        <v>247</v>
      </c>
      <c r="H5" s="81" t="s">
        <v>224</v>
      </c>
      <c r="I5" s="81" t="s">
        <v>226</v>
      </c>
      <c r="J5" s="81" t="s">
        <v>223</v>
      </c>
      <c r="K5" s="81" t="s">
        <v>225</v>
      </c>
      <c r="L5" s="81" t="s">
        <v>227</v>
      </c>
      <c r="M5" s="81" t="s">
        <v>228</v>
      </c>
      <c r="N5" s="81" t="s">
        <v>229</v>
      </c>
      <c r="Q5" s="45" t="s">
        <v>403</v>
      </c>
      <c r="T5" s="46" t="s">
        <v>393</v>
      </c>
      <c r="U5" s="46" t="s">
        <v>394</v>
      </c>
      <c r="V5" s="46" t="s">
        <v>393</v>
      </c>
      <c r="W5" s="46" t="s">
        <v>394</v>
      </c>
      <c r="X5" s="46" t="s">
        <v>393</v>
      </c>
      <c r="Y5" s="46" t="s">
        <v>394</v>
      </c>
      <c r="Z5" s="46" t="s">
        <v>393</v>
      </c>
      <c r="AA5" s="46" t="s">
        <v>394</v>
      </c>
      <c r="AB5" s="46" t="s">
        <v>393</v>
      </c>
      <c r="AC5" s="46" t="s">
        <v>394</v>
      </c>
      <c r="AE5" s="46" t="s">
        <v>393</v>
      </c>
      <c r="AF5" s="46" t="s">
        <v>394</v>
      </c>
      <c r="AJ5" s="78" t="s">
        <v>0</v>
      </c>
      <c r="AK5" s="78" t="s">
        <v>1</v>
      </c>
      <c r="AL5" s="78" t="s">
        <v>2</v>
      </c>
      <c r="AM5" s="79" t="s">
        <v>3</v>
      </c>
      <c r="AN5" s="78" t="s">
        <v>4</v>
      </c>
      <c r="AO5" s="80" t="s">
        <v>5</v>
      </c>
      <c r="AP5" s="90"/>
      <c r="AQ5" s="90"/>
      <c r="AR5" s="90"/>
      <c r="AS5" s="90"/>
      <c r="AT5" s="81" t="s">
        <v>225</v>
      </c>
      <c r="AU5" s="93" t="s">
        <v>414</v>
      </c>
      <c r="AV5" s="93" t="s">
        <v>415</v>
      </c>
      <c r="AW5" s="93" t="s">
        <v>416</v>
      </c>
      <c r="AX5" s="95" t="s">
        <v>228</v>
      </c>
      <c r="AY5" s="95" t="s">
        <v>227</v>
      </c>
      <c r="AZ5" s="95" t="s">
        <v>229</v>
      </c>
      <c r="BC5" s="45" t="s">
        <v>403</v>
      </c>
      <c r="BF5" s="46" t="s">
        <v>393</v>
      </c>
      <c r="BG5" s="46" t="s">
        <v>394</v>
      </c>
      <c r="BH5" s="46" t="s">
        <v>393</v>
      </c>
      <c r="BI5" s="46" t="s">
        <v>394</v>
      </c>
      <c r="BJ5" s="46" t="s">
        <v>393</v>
      </c>
      <c r="BK5" s="46" t="s">
        <v>394</v>
      </c>
      <c r="BL5" s="46" t="s">
        <v>393</v>
      </c>
      <c r="BM5" s="46" t="s">
        <v>394</v>
      </c>
      <c r="BN5" s="46" t="s">
        <v>393</v>
      </c>
      <c r="BO5" s="46" t="s">
        <v>394</v>
      </c>
      <c r="BQ5" s="46" t="s">
        <v>393</v>
      </c>
      <c r="BR5" s="46" t="s">
        <v>394</v>
      </c>
    </row>
    <row r="7" spans="1:71" x14ac:dyDescent="0.25">
      <c r="A7" s="4" t="s">
        <v>35</v>
      </c>
      <c r="B7" s="5"/>
      <c r="C7" s="5"/>
      <c r="D7" s="4"/>
      <c r="E7" s="5"/>
      <c r="F7" s="6"/>
      <c r="G7" s="6"/>
      <c r="H7" s="6"/>
      <c r="I7" s="7"/>
      <c r="J7" s="7"/>
      <c r="K7" s="7"/>
      <c r="L7" s="7"/>
      <c r="M7" s="7"/>
      <c r="N7" s="7">
        <f>SUM(N8:N25)</f>
        <v>207729.37</v>
      </c>
      <c r="P7" s="48" t="e">
        <f>N7/$N$170</f>
        <v>#REF!</v>
      </c>
      <c r="Q7" s="48"/>
      <c r="T7" s="49" t="e">
        <f>U7/$N$170</f>
        <v>#REF!</v>
      </c>
      <c r="U7" s="47">
        <f>SUM(U8:U25)</f>
        <v>2478.9180000000001</v>
      </c>
      <c r="V7" s="49" t="e">
        <f>W7/$N$170</f>
        <v>#REF!</v>
      </c>
      <c r="W7" s="47">
        <f>SUM(W8:W25)</f>
        <v>0</v>
      </c>
      <c r="X7" s="49" t="e">
        <f>Y7/$N$170</f>
        <v>#REF!</v>
      </c>
      <c r="Y7" s="47">
        <f>SUM(Y8:Y25)</f>
        <v>1094.7740000000001</v>
      </c>
      <c r="Z7" s="49" t="e">
        <f>AA7/$N$170</f>
        <v>#REF!</v>
      </c>
      <c r="AA7" s="47">
        <f>SUM(AA8:AA25)</f>
        <v>100062.2065</v>
      </c>
      <c r="AB7" s="49" t="e">
        <f>AC7/$N$170</f>
        <v>#REF!</v>
      </c>
      <c r="AC7" s="47">
        <f>SUM(AC8:AC25)</f>
        <v>104093.4715</v>
      </c>
      <c r="AE7" s="43"/>
      <c r="AF7" s="50">
        <f t="shared" ref="AF7:AF23" si="0">SUM(U7,Y7,AA7,AC7)</f>
        <v>207729.37</v>
      </c>
      <c r="AG7" s="39" t="str">
        <f t="shared" ref="AG7:AG23" si="1">IF(AF7=N7,"OK","VERIFICAR")</f>
        <v>OK</v>
      </c>
      <c r="AJ7" s="4" t="s">
        <v>35</v>
      </c>
      <c r="AK7" s="5"/>
      <c r="AL7" s="5"/>
      <c r="AM7" s="4"/>
      <c r="AN7" s="5"/>
      <c r="AO7" s="6"/>
      <c r="AP7" s="90"/>
      <c r="AQ7" s="90"/>
      <c r="AR7" s="90"/>
      <c r="AS7" s="90"/>
      <c r="AT7" s="7"/>
      <c r="AU7" s="90"/>
      <c r="AV7" s="90"/>
      <c r="AW7" s="90"/>
      <c r="AX7" s="47">
        <f t="shared" ref="AX7:AY7" si="2">SUM(AX8:AX25)</f>
        <v>10569.5</v>
      </c>
      <c r="AY7" s="47">
        <f t="shared" si="2"/>
        <v>169706.91999999998</v>
      </c>
      <c r="AZ7" s="47">
        <f>SUM(AZ8:AZ25)</f>
        <v>180276.42</v>
      </c>
      <c r="BB7" s="48" t="e">
        <f>#REF!/$N$170</f>
        <v>#REF!</v>
      </c>
      <c r="BC7" s="48"/>
      <c r="BF7" s="49" t="e">
        <f>BG7/$N$170</f>
        <v>#REF!</v>
      </c>
      <c r="BG7" s="47">
        <f>SUM(BG8:BG25)</f>
        <v>2211.1900000000005</v>
      </c>
      <c r="BH7" s="49" t="e">
        <f>BI7/$N$170</f>
        <v>#REF!</v>
      </c>
      <c r="BI7" s="47">
        <f>SUM(BI8:BI25)</f>
        <v>0</v>
      </c>
      <c r="BJ7" s="49" t="e">
        <f>BK7/$N$170</f>
        <v>#REF!</v>
      </c>
      <c r="BK7" s="47">
        <f>SUM(BK8:BK25)</f>
        <v>46462.981</v>
      </c>
      <c r="BL7" s="49" t="e">
        <f>BM7/$N$170</f>
        <v>#REF!</v>
      </c>
      <c r="BM7" s="47">
        <f>SUM(BM8:BM25)</f>
        <v>58704.381000000001</v>
      </c>
      <c r="BN7" s="49" t="e">
        <f>BO7/$N$170</f>
        <v>#REF!</v>
      </c>
      <c r="BO7" s="47">
        <f>SUM(BO8:BO25)</f>
        <v>72897.868000000017</v>
      </c>
      <c r="BQ7" s="43"/>
      <c r="BR7" s="50">
        <f t="shared" ref="BR7:BR24" si="3">SUM(BG7,BK7,BM7,BO7)</f>
        <v>180276.42</v>
      </c>
      <c r="BS7" s="39" t="str">
        <f t="shared" ref="BS7:BS8" si="4">IF(BR7=AZ7,"OK","VERIFICAR")</f>
        <v>OK</v>
      </c>
    </row>
    <row r="8" spans="1:71" ht="60" outlineLevel="1" x14ac:dyDescent="0.25">
      <c r="A8" s="8" t="s">
        <v>6</v>
      </c>
      <c r="B8" s="8" t="s">
        <v>7</v>
      </c>
      <c r="C8" s="8" t="s">
        <v>8</v>
      </c>
      <c r="D8" s="9" t="s">
        <v>233</v>
      </c>
      <c r="E8" s="51" t="s">
        <v>9</v>
      </c>
      <c r="F8" s="52">
        <v>2</v>
      </c>
      <c r="G8" s="53">
        <f>AVERAGE(19798.26,16019.38,17537,21128.58,21018.15,18495.97)</f>
        <v>18999.556666666667</v>
      </c>
      <c r="H8" s="53">
        <v>0</v>
      </c>
      <c r="I8" s="53">
        <f>G8+H8</f>
        <v>18999.556666666667</v>
      </c>
      <c r="J8" s="53">
        <f t="shared" ref="J8:J25" si="5">TRUNC(I8*F8,2)</f>
        <v>37999.11</v>
      </c>
      <c r="K8" s="54">
        <v>0.1515</v>
      </c>
      <c r="L8" s="53">
        <f>TRUNC($F8*G8*(1+$K8),2)</f>
        <v>43755.97</v>
      </c>
      <c r="M8" s="53">
        <f>TRUNC($F8*H8*(1+$K8),2)</f>
        <v>0</v>
      </c>
      <c r="N8" s="53">
        <f>M8+L8</f>
        <v>43755.97</v>
      </c>
      <c r="P8" s="48"/>
      <c r="Z8" s="55">
        <v>0.5</v>
      </c>
      <c r="AA8" s="56">
        <f>Z8*$N8</f>
        <v>21877.985000000001</v>
      </c>
      <c r="AB8" s="55">
        <v>0.5</v>
      </c>
      <c r="AC8" s="56">
        <f>AB8*$N8</f>
        <v>21877.985000000001</v>
      </c>
      <c r="AE8" s="57">
        <f t="shared" ref="AE8:AE25" si="6">SUM(T8,X8,Z8,AB8)</f>
        <v>1</v>
      </c>
      <c r="AF8" s="50">
        <f t="shared" si="0"/>
        <v>43755.97</v>
      </c>
      <c r="AG8" s="39" t="str">
        <f t="shared" si="1"/>
        <v>OK</v>
      </c>
      <c r="AJ8" s="8" t="s">
        <v>6</v>
      </c>
      <c r="AK8" s="8" t="s">
        <v>7</v>
      </c>
      <c r="AL8" s="8" t="s">
        <v>8</v>
      </c>
      <c r="AM8" s="9" t="s">
        <v>233</v>
      </c>
      <c r="AN8" s="51" t="s">
        <v>9</v>
      </c>
      <c r="AO8" s="84">
        <v>2</v>
      </c>
      <c r="AP8" s="52"/>
      <c r="AQ8" s="59">
        <f t="shared" ref="AQ8:AQ12" si="7">AU8/(1+$AT8)</f>
        <v>0</v>
      </c>
      <c r="AR8" s="59">
        <f t="shared" ref="AR8:AR12" si="8">AV8/(1+$AT8)</f>
        <v>15569.994539497635</v>
      </c>
      <c r="AS8" s="59">
        <f t="shared" ref="AS8:AS12" si="9">AW8/(1+$AT8)</f>
        <v>15569.994539497635</v>
      </c>
      <c r="AT8" s="19">
        <v>9.8799999999999999E-2</v>
      </c>
      <c r="AU8" s="53">
        <v>0</v>
      </c>
      <c r="AV8" s="53">
        <v>17108.310000000001</v>
      </c>
      <c r="AW8" s="53">
        <f>AU8+AV8</f>
        <v>17108.310000000001</v>
      </c>
      <c r="AX8" s="53">
        <f>$AO8*AU8</f>
        <v>0</v>
      </c>
      <c r="AY8" s="53">
        <f t="shared" ref="AY8:AZ8" si="10">$AO8*AV8</f>
        <v>34216.620000000003</v>
      </c>
      <c r="AZ8" s="53">
        <f t="shared" si="10"/>
        <v>34216.620000000003</v>
      </c>
      <c r="BB8" s="48"/>
      <c r="BL8" s="55">
        <v>0.25</v>
      </c>
      <c r="BM8" s="97">
        <f t="shared" ref="BK8:BO23" si="11">BL8*$AZ8</f>
        <v>8554.1550000000007</v>
      </c>
      <c r="BN8" s="55">
        <v>0.75</v>
      </c>
      <c r="BO8" s="97">
        <f t="shared" si="11"/>
        <v>25662.465000000004</v>
      </c>
      <c r="BQ8" s="57">
        <f t="shared" ref="BQ8:BQ25" si="12">SUM(BF8,BJ8,BL8,BN8)</f>
        <v>1</v>
      </c>
      <c r="BR8" s="50">
        <f t="shared" si="3"/>
        <v>34216.620000000003</v>
      </c>
      <c r="BS8" s="39" t="str">
        <f t="shared" si="4"/>
        <v>OK</v>
      </c>
    </row>
    <row r="9" spans="1:71" ht="60" outlineLevel="1" x14ac:dyDescent="0.25">
      <c r="A9" s="8" t="s">
        <v>6</v>
      </c>
      <c r="B9" s="8" t="s">
        <v>10</v>
      </c>
      <c r="C9" s="8" t="s">
        <v>8</v>
      </c>
      <c r="D9" s="9" t="s">
        <v>411</v>
      </c>
      <c r="E9" s="51" t="s">
        <v>9</v>
      </c>
      <c r="F9" s="52">
        <v>139</v>
      </c>
      <c r="G9" s="53">
        <f>AVERAGE(789.57,820.71,677.97,729,(449.9*1.06))</f>
        <v>698.8288</v>
      </c>
      <c r="H9" s="53">
        <v>0</v>
      </c>
      <c r="I9" s="53">
        <f>G9+H9</f>
        <v>698.8288</v>
      </c>
      <c r="J9" s="53">
        <f t="shared" si="5"/>
        <v>97137.2</v>
      </c>
      <c r="K9" s="54">
        <v>0.1515</v>
      </c>
      <c r="L9" s="53">
        <f>TRUNC($F9*G9*(1+$K9),2)</f>
        <v>111853.48</v>
      </c>
      <c r="M9" s="53">
        <f>TRUNC($F9*H9*(1+$K9),2)</f>
        <v>0</v>
      </c>
      <c r="N9" s="53">
        <f>M9+L9</f>
        <v>111853.48</v>
      </c>
      <c r="P9" s="48"/>
      <c r="Q9" s="48"/>
      <c r="Z9" s="55">
        <v>0.5</v>
      </c>
      <c r="AA9" s="56">
        <f t="shared" ref="AA9:AA22" si="13">Z9*$N9</f>
        <v>55926.74</v>
      </c>
      <c r="AB9" s="55">
        <v>0.5</v>
      </c>
      <c r="AC9" s="56">
        <f t="shared" ref="AC9:AC22" si="14">AB9*$N9</f>
        <v>55926.74</v>
      </c>
      <c r="AE9" s="57">
        <f t="shared" si="6"/>
        <v>1</v>
      </c>
      <c r="AF9" s="50">
        <f t="shared" si="0"/>
        <v>111853.48</v>
      </c>
      <c r="AG9" s="39" t="str">
        <f t="shared" si="1"/>
        <v>OK</v>
      </c>
      <c r="AJ9" s="8" t="s">
        <v>6</v>
      </c>
      <c r="AK9" s="8" t="s">
        <v>10</v>
      </c>
      <c r="AL9" s="8" t="s">
        <v>8</v>
      </c>
      <c r="AM9" s="9" t="s">
        <v>411</v>
      </c>
      <c r="AN9" s="51" t="s">
        <v>9</v>
      </c>
      <c r="AO9" s="84">
        <v>139</v>
      </c>
      <c r="AP9" s="52"/>
      <c r="AQ9" s="59">
        <f t="shared" si="7"/>
        <v>0</v>
      </c>
      <c r="AR9" s="59">
        <f t="shared" si="8"/>
        <v>668.99344739716059</v>
      </c>
      <c r="AS9" s="59">
        <f t="shared" si="9"/>
        <v>668.99344739716059</v>
      </c>
      <c r="AT9" s="19">
        <v>9.8799999999999999E-2</v>
      </c>
      <c r="AU9" s="52">
        <v>0</v>
      </c>
      <c r="AV9" s="52">
        <v>735.09</v>
      </c>
      <c r="AW9" s="52">
        <f t="shared" ref="AW9:AW25" si="15">AU9+AV9</f>
        <v>735.09</v>
      </c>
      <c r="AX9" s="53">
        <f t="shared" ref="AX9:AX25" si="16">$AO9*AU9</f>
        <v>0</v>
      </c>
      <c r="AY9" s="53">
        <f t="shared" ref="AY9:AY25" si="17">$AO9*AV9</f>
        <v>102177.51000000001</v>
      </c>
      <c r="AZ9" s="53">
        <f t="shared" ref="AZ9:AZ25" si="18">$AO9*AW9</f>
        <v>102177.51000000001</v>
      </c>
      <c r="BB9" s="48"/>
      <c r="BC9" s="48"/>
      <c r="BJ9" s="55">
        <v>0.35</v>
      </c>
      <c r="BK9" s="97">
        <f t="shared" si="11"/>
        <v>35762.128499999999</v>
      </c>
      <c r="BL9" s="55">
        <v>0.35</v>
      </c>
      <c r="BM9" s="97">
        <f t="shared" si="11"/>
        <v>35762.128499999999</v>
      </c>
      <c r="BN9" s="55">
        <v>0.3</v>
      </c>
      <c r="BO9" s="97">
        <f t="shared" si="11"/>
        <v>30653.253000000001</v>
      </c>
      <c r="BQ9" s="57">
        <f t="shared" si="12"/>
        <v>1</v>
      </c>
      <c r="BR9" s="50">
        <f t="shared" si="3"/>
        <v>102177.51</v>
      </c>
      <c r="BS9" s="39" t="str">
        <f>IF(BR9=AZ9,"OK","VERIFICAR")</f>
        <v>OK</v>
      </c>
    </row>
    <row r="10" spans="1:71" ht="30" outlineLevel="1" x14ac:dyDescent="0.25">
      <c r="A10" s="8" t="s">
        <v>6</v>
      </c>
      <c r="B10" s="8" t="s">
        <v>11</v>
      </c>
      <c r="C10" s="8" t="s">
        <v>8</v>
      </c>
      <c r="D10" s="9" t="s">
        <v>12</v>
      </c>
      <c r="E10" s="51" t="s">
        <v>9</v>
      </c>
      <c r="F10" s="52">
        <v>9</v>
      </c>
      <c r="G10" s="53">
        <f>AVERAGE(20/2,19.02/2)</f>
        <v>9.754999999999999</v>
      </c>
      <c r="H10" s="53">
        <v>0</v>
      </c>
      <c r="I10" s="53">
        <f t="shared" ref="I10:I25" si="19">G10+H10</f>
        <v>9.754999999999999</v>
      </c>
      <c r="J10" s="53">
        <f t="shared" si="5"/>
        <v>87.79</v>
      </c>
      <c r="K10" s="58">
        <v>0.27760000000000001</v>
      </c>
      <c r="L10" s="53">
        <f t="shared" ref="L10:M25" si="20">TRUNC($F10*G10*(1+$K10),2)</f>
        <v>112.16</v>
      </c>
      <c r="M10" s="53">
        <f t="shared" si="20"/>
        <v>0</v>
      </c>
      <c r="N10" s="53">
        <f t="shared" ref="N10:N25" si="21">M10+L10</f>
        <v>112.16</v>
      </c>
      <c r="Q10" s="48"/>
      <c r="Z10" s="55">
        <v>0.5</v>
      </c>
      <c r="AA10" s="56">
        <f t="shared" si="13"/>
        <v>56.08</v>
      </c>
      <c r="AB10" s="55">
        <v>0.5</v>
      </c>
      <c r="AC10" s="56">
        <f t="shared" si="14"/>
        <v>56.08</v>
      </c>
      <c r="AE10" s="57">
        <f t="shared" si="6"/>
        <v>1</v>
      </c>
      <c r="AF10" s="50">
        <f t="shared" si="0"/>
        <v>112.16</v>
      </c>
      <c r="AG10" s="39" t="str">
        <f t="shared" si="1"/>
        <v>OK</v>
      </c>
      <c r="AJ10" s="8" t="s">
        <v>6</v>
      </c>
      <c r="AK10" s="8" t="s">
        <v>11</v>
      </c>
      <c r="AL10" s="8" t="s">
        <v>8</v>
      </c>
      <c r="AM10" s="9" t="s">
        <v>12</v>
      </c>
      <c r="AN10" s="51" t="s">
        <v>9</v>
      </c>
      <c r="AO10" s="84">
        <v>9</v>
      </c>
      <c r="AP10" s="52"/>
      <c r="AQ10" s="59">
        <f t="shared" si="7"/>
        <v>0</v>
      </c>
      <c r="AR10" s="59">
        <f t="shared" si="8"/>
        <v>9.7526749693036301</v>
      </c>
      <c r="AS10" s="59">
        <f t="shared" si="9"/>
        <v>9.7526749693036301</v>
      </c>
      <c r="AT10" s="88">
        <v>0.14019999999999999</v>
      </c>
      <c r="AU10" s="52">
        <v>0</v>
      </c>
      <c r="AV10" s="52">
        <v>11.12</v>
      </c>
      <c r="AW10" s="52">
        <f t="shared" si="15"/>
        <v>11.12</v>
      </c>
      <c r="AX10" s="53">
        <f t="shared" si="16"/>
        <v>0</v>
      </c>
      <c r="AY10" s="53">
        <f t="shared" si="17"/>
        <v>100.08</v>
      </c>
      <c r="AZ10" s="53">
        <f t="shared" si="18"/>
        <v>100.08</v>
      </c>
      <c r="BC10" s="48"/>
      <c r="BL10" s="55">
        <v>0.5</v>
      </c>
      <c r="BM10" s="97">
        <f t="shared" si="11"/>
        <v>50.04</v>
      </c>
      <c r="BN10" s="55">
        <v>0.5</v>
      </c>
      <c r="BO10" s="97">
        <f t="shared" si="11"/>
        <v>50.04</v>
      </c>
      <c r="BQ10" s="57">
        <f t="shared" si="12"/>
        <v>1</v>
      </c>
      <c r="BR10" s="50">
        <f t="shared" si="3"/>
        <v>100.08</v>
      </c>
      <c r="BS10" s="39" t="str">
        <f t="shared" ref="BS10:BS73" si="22">IF(BR10=AZ10,"OK","VERIFICAR")</f>
        <v>OK</v>
      </c>
    </row>
    <row r="11" spans="1:71" ht="30" outlineLevel="1" x14ac:dyDescent="0.25">
      <c r="A11" s="8" t="s">
        <v>6</v>
      </c>
      <c r="B11" s="8" t="s">
        <v>13</v>
      </c>
      <c r="C11" s="8" t="s">
        <v>8</v>
      </c>
      <c r="D11" s="9" t="s">
        <v>14</v>
      </c>
      <c r="E11" s="51" t="s">
        <v>9</v>
      </c>
      <c r="F11" s="52">
        <v>9</v>
      </c>
      <c r="G11" s="53">
        <f>AVERAGE(20/2,19.02/2)</f>
        <v>9.754999999999999</v>
      </c>
      <c r="H11" s="53">
        <v>0</v>
      </c>
      <c r="I11" s="53">
        <f t="shared" si="19"/>
        <v>9.754999999999999</v>
      </c>
      <c r="J11" s="53">
        <f t="shared" si="5"/>
        <v>87.79</v>
      </c>
      <c r="K11" s="58">
        <v>0.27760000000000001</v>
      </c>
      <c r="L11" s="53">
        <f t="shared" si="20"/>
        <v>112.16</v>
      </c>
      <c r="M11" s="53">
        <f t="shared" si="20"/>
        <v>0</v>
      </c>
      <c r="N11" s="53">
        <f t="shared" si="21"/>
        <v>112.16</v>
      </c>
      <c r="Z11" s="55">
        <v>0.5</v>
      </c>
      <c r="AA11" s="56">
        <f t="shared" si="13"/>
        <v>56.08</v>
      </c>
      <c r="AB11" s="55">
        <v>0.5</v>
      </c>
      <c r="AC11" s="56">
        <f t="shared" si="14"/>
        <v>56.08</v>
      </c>
      <c r="AE11" s="57">
        <f t="shared" si="6"/>
        <v>1</v>
      </c>
      <c r="AF11" s="50">
        <f t="shared" si="0"/>
        <v>112.16</v>
      </c>
      <c r="AG11" s="39" t="str">
        <f t="shared" si="1"/>
        <v>OK</v>
      </c>
      <c r="AJ11" s="8" t="s">
        <v>6</v>
      </c>
      <c r="AK11" s="8" t="s">
        <v>13</v>
      </c>
      <c r="AL11" s="8" t="s">
        <v>8</v>
      </c>
      <c r="AM11" s="9" t="s">
        <v>14</v>
      </c>
      <c r="AN11" s="51" t="s">
        <v>9</v>
      </c>
      <c r="AO11" s="84">
        <v>9</v>
      </c>
      <c r="AP11" s="52"/>
      <c r="AQ11" s="59">
        <f t="shared" si="7"/>
        <v>0</v>
      </c>
      <c r="AR11" s="59">
        <f t="shared" si="8"/>
        <v>9.7526749693036301</v>
      </c>
      <c r="AS11" s="59">
        <f t="shared" si="9"/>
        <v>9.7526749693036301</v>
      </c>
      <c r="AT11" s="88">
        <v>0.14019999999999999</v>
      </c>
      <c r="AU11" s="52">
        <v>0</v>
      </c>
      <c r="AV11" s="52">
        <v>11.12</v>
      </c>
      <c r="AW11" s="52">
        <f t="shared" si="15"/>
        <v>11.12</v>
      </c>
      <c r="AX11" s="53">
        <f t="shared" si="16"/>
        <v>0</v>
      </c>
      <c r="AY11" s="53">
        <f t="shared" si="17"/>
        <v>100.08</v>
      </c>
      <c r="AZ11" s="53">
        <f t="shared" si="18"/>
        <v>100.08</v>
      </c>
      <c r="BL11" s="55">
        <v>0.5</v>
      </c>
      <c r="BM11" s="97">
        <f t="shared" si="11"/>
        <v>50.04</v>
      </c>
      <c r="BN11" s="55">
        <v>0.5</v>
      </c>
      <c r="BO11" s="97">
        <f t="shared" si="11"/>
        <v>50.04</v>
      </c>
      <c r="BQ11" s="57">
        <f t="shared" si="12"/>
        <v>1</v>
      </c>
      <c r="BR11" s="50">
        <f t="shared" si="3"/>
        <v>100.08</v>
      </c>
      <c r="BS11" s="39" t="str">
        <f t="shared" si="22"/>
        <v>OK</v>
      </c>
    </row>
    <row r="12" spans="1:71" ht="45" outlineLevel="1" x14ac:dyDescent="0.25">
      <c r="A12" s="8" t="s">
        <v>6</v>
      </c>
      <c r="B12" s="8" t="s">
        <v>15</v>
      </c>
      <c r="C12" s="8" t="s">
        <v>8</v>
      </c>
      <c r="D12" s="9" t="s">
        <v>16</v>
      </c>
      <c r="E12" s="51" t="s">
        <v>17</v>
      </c>
      <c r="F12" s="59">
        <v>200</v>
      </c>
      <c r="G12" s="53">
        <f>AVERAGE(590,560.5)/100</f>
        <v>5.7525000000000004</v>
      </c>
      <c r="H12" s="53">
        <v>0</v>
      </c>
      <c r="I12" s="53">
        <f t="shared" si="19"/>
        <v>5.7525000000000004</v>
      </c>
      <c r="J12" s="53">
        <f t="shared" si="5"/>
        <v>1150.5</v>
      </c>
      <c r="K12" s="58">
        <v>0.27760000000000001</v>
      </c>
      <c r="L12" s="53">
        <f t="shared" si="20"/>
        <v>1469.87</v>
      </c>
      <c r="M12" s="53">
        <f t="shared" si="20"/>
        <v>0</v>
      </c>
      <c r="N12" s="53">
        <f t="shared" si="21"/>
        <v>1469.87</v>
      </c>
      <c r="Z12" s="55">
        <v>0.5</v>
      </c>
      <c r="AA12" s="56">
        <f t="shared" si="13"/>
        <v>734.93499999999995</v>
      </c>
      <c r="AB12" s="55">
        <v>0.5</v>
      </c>
      <c r="AC12" s="56">
        <f t="shared" si="14"/>
        <v>734.93499999999995</v>
      </c>
      <c r="AE12" s="57">
        <f t="shared" si="6"/>
        <v>1</v>
      </c>
      <c r="AF12" s="50">
        <f t="shared" si="0"/>
        <v>1469.87</v>
      </c>
      <c r="AG12" s="39" t="str">
        <f t="shared" si="1"/>
        <v>OK</v>
      </c>
      <c r="AJ12" s="8" t="s">
        <v>6</v>
      </c>
      <c r="AK12" s="8" t="s">
        <v>15</v>
      </c>
      <c r="AL12" s="8" t="s">
        <v>8</v>
      </c>
      <c r="AM12" s="9" t="s">
        <v>16</v>
      </c>
      <c r="AN12" s="51" t="s">
        <v>17</v>
      </c>
      <c r="AO12" s="85">
        <v>200</v>
      </c>
      <c r="AP12" s="59"/>
      <c r="AQ12" s="59">
        <f t="shared" si="7"/>
        <v>0</v>
      </c>
      <c r="AR12" s="59">
        <f t="shared" si="8"/>
        <v>5.7446062094369399</v>
      </c>
      <c r="AS12" s="59">
        <f t="shared" si="9"/>
        <v>5.7446062094369399</v>
      </c>
      <c r="AT12" s="88">
        <v>0.14019999999999999</v>
      </c>
      <c r="AU12" s="59">
        <v>0</v>
      </c>
      <c r="AV12" s="59">
        <v>6.55</v>
      </c>
      <c r="AW12" s="52">
        <f t="shared" si="15"/>
        <v>6.55</v>
      </c>
      <c r="AX12" s="53">
        <f t="shared" si="16"/>
        <v>0</v>
      </c>
      <c r="AY12" s="53">
        <f t="shared" si="17"/>
        <v>1310</v>
      </c>
      <c r="AZ12" s="53">
        <f t="shared" si="18"/>
        <v>1310</v>
      </c>
      <c r="BL12" s="55">
        <v>0.5</v>
      </c>
      <c r="BM12" s="97">
        <f t="shared" si="11"/>
        <v>655</v>
      </c>
      <c r="BN12" s="55">
        <v>0.5</v>
      </c>
      <c r="BO12" s="97">
        <f t="shared" si="11"/>
        <v>655</v>
      </c>
      <c r="BQ12" s="57">
        <f t="shared" si="12"/>
        <v>1</v>
      </c>
      <c r="BR12" s="50">
        <f t="shared" si="3"/>
        <v>1310</v>
      </c>
      <c r="BS12" s="39" t="str">
        <f t="shared" si="22"/>
        <v>OK</v>
      </c>
    </row>
    <row r="13" spans="1:71" ht="45" outlineLevel="1" x14ac:dyDescent="0.25">
      <c r="A13" s="8" t="s">
        <v>6</v>
      </c>
      <c r="B13" s="8" t="s">
        <v>18</v>
      </c>
      <c r="C13" s="8" t="s">
        <v>8</v>
      </c>
      <c r="D13" s="9" t="s">
        <v>19</v>
      </c>
      <c r="E13" s="51" t="s">
        <v>17</v>
      </c>
      <c r="F13" s="59">
        <v>200</v>
      </c>
      <c r="G13" s="53">
        <f>AVERAGE(590,560.5)/100</f>
        <v>5.7525000000000004</v>
      </c>
      <c r="H13" s="53">
        <v>0</v>
      </c>
      <c r="I13" s="53">
        <f t="shared" si="19"/>
        <v>5.7525000000000004</v>
      </c>
      <c r="J13" s="53">
        <f t="shared" si="5"/>
        <v>1150.5</v>
      </c>
      <c r="K13" s="58">
        <v>0.27760000000000001</v>
      </c>
      <c r="L13" s="53">
        <f t="shared" si="20"/>
        <v>1469.87</v>
      </c>
      <c r="M13" s="53">
        <f t="shared" si="20"/>
        <v>0</v>
      </c>
      <c r="N13" s="53">
        <f t="shared" si="21"/>
        <v>1469.87</v>
      </c>
      <c r="Z13" s="55">
        <v>0.5</v>
      </c>
      <c r="AA13" s="56">
        <f t="shared" si="13"/>
        <v>734.93499999999995</v>
      </c>
      <c r="AB13" s="55">
        <v>0.5</v>
      </c>
      <c r="AC13" s="56">
        <f t="shared" si="14"/>
        <v>734.93499999999995</v>
      </c>
      <c r="AE13" s="57">
        <f t="shared" si="6"/>
        <v>1</v>
      </c>
      <c r="AF13" s="50">
        <f t="shared" si="0"/>
        <v>1469.87</v>
      </c>
      <c r="AG13" s="39" t="str">
        <f t="shared" si="1"/>
        <v>OK</v>
      </c>
      <c r="AJ13" s="8" t="s">
        <v>6</v>
      </c>
      <c r="AK13" s="8" t="s">
        <v>18</v>
      </c>
      <c r="AL13" s="8" t="s">
        <v>8</v>
      </c>
      <c r="AM13" s="9" t="s">
        <v>19</v>
      </c>
      <c r="AN13" s="51" t="s">
        <v>17</v>
      </c>
      <c r="AO13" s="85">
        <v>200</v>
      </c>
      <c r="AP13" s="59"/>
      <c r="AQ13" s="59">
        <f t="shared" ref="AQ13:AR13" si="23">AU13/(1+$AT13)</f>
        <v>0</v>
      </c>
      <c r="AR13" s="59">
        <f t="shared" si="23"/>
        <v>5.7446062094369399</v>
      </c>
      <c r="AS13" s="59">
        <f>AW13/(1+$AT13)</f>
        <v>5.7446062094369399</v>
      </c>
      <c r="AT13" s="88">
        <v>0.14019999999999999</v>
      </c>
      <c r="AU13" s="59">
        <v>0</v>
      </c>
      <c r="AV13" s="59">
        <v>6.55</v>
      </c>
      <c r="AW13" s="52">
        <f t="shared" si="15"/>
        <v>6.55</v>
      </c>
      <c r="AX13" s="53">
        <f t="shared" si="16"/>
        <v>0</v>
      </c>
      <c r="AY13" s="53">
        <f t="shared" si="17"/>
        <v>1310</v>
      </c>
      <c r="AZ13" s="53">
        <f t="shared" si="18"/>
        <v>1310</v>
      </c>
      <c r="BL13" s="55">
        <v>0.5</v>
      </c>
      <c r="BM13" s="97">
        <f t="shared" si="11"/>
        <v>655</v>
      </c>
      <c r="BN13" s="55">
        <v>0.5</v>
      </c>
      <c r="BO13" s="97">
        <f t="shared" si="11"/>
        <v>655</v>
      </c>
      <c r="BQ13" s="57">
        <f t="shared" si="12"/>
        <v>1</v>
      </c>
      <c r="BR13" s="50">
        <f t="shared" si="3"/>
        <v>1310</v>
      </c>
      <c r="BS13" s="39" t="str">
        <f t="shared" si="22"/>
        <v>OK</v>
      </c>
    </row>
    <row r="14" spans="1:71" ht="75" outlineLevel="1" x14ac:dyDescent="0.25">
      <c r="A14" s="8" t="s">
        <v>6</v>
      </c>
      <c r="B14" s="8" t="s">
        <v>178</v>
      </c>
      <c r="C14" s="8" t="s">
        <v>8</v>
      </c>
      <c r="D14" s="9" t="s">
        <v>21</v>
      </c>
      <c r="E14" s="51" t="s">
        <v>9</v>
      </c>
      <c r="F14" s="52">
        <v>75</v>
      </c>
      <c r="G14" s="53">
        <f>AVERAGE(680/2,640.68/2,721.29/2,518/2)</f>
        <v>319.99624999999997</v>
      </c>
      <c r="H14" s="53">
        <v>0</v>
      </c>
      <c r="I14" s="53">
        <f t="shared" si="19"/>
        <v>319.99624999999997</v>
      </c>
      <c r="J14" s="53">
        <f t="shared" si="5"/>
        <v>23999.71</v>
      </c>
      <c r="K14" s="58">
        <v>0.27760000000000001</v>
      </c>
      <c r="L14" s="53">
        <f t="shared" si="20"/>
        <v>30662.04</v>
      </c>
      <c r="M14" s="53">
        <f t="shared" si="20"/>
        <v>0</v>
      </c>
      <c r="N14" s="53">
        <f t="shared" si="21"/>
        <v>30662.04</v>
      </c>
      <c r="Z14" s="55">
        <v>0.5</v>
      </c>
      <c r="AA14" s="56">
        <f t="shared" si="13"/>
        <v>15331.02</v>
      </c>
      <c r="AB14" s="55">
        <v>0.5</v>
      </c>
      <c r="AC14" s="56">
        <f t="shared" si="14"/>
        <v>15331.02</v>
      </c>
      <c r="AE14" s="57">
        <f t="shared" si="6"/>
        <v>1</v>
      </c>
      <c r="AF14" s="50">
        <f t="shared" si="0"/>
        <v>30662.04</v>
      </c>
      <c r="AG14" s="39" t="str">
        <f t="shared" si="1"/>
        <v>OK</v>
      </c>
      <c r="AJ14" s="8" t="s">
        <v>6</v>
      </c>
      <c r="AK14" s="8" t="s">
        <v>178</v>
      </c>
      <c r="AL14" s="8" t="s">
        <v>8</v>
      </c>
      <c r="AM14" s="9" t="s">
        <v>21</v>
      </c>
      <c r="AN14" s="51" t="s">
        <v>9</v>
      </c>
      <c r="AO14" s="84">
        <v>75</v>
      </c>
      <c r="AP14" s="52"/>
      <c r="AQ14" s="59">
        <f t="shared" ref="AQ14:AQ25" si="24">AU14/(1+$AT14)</f>
        <v>0</v>
      </c>
      <c r="AR14" s="59">
        <f t="shared" ref="AR14:AR25" si="25">AV14/(1+$AT14)</f>
        <v>289.99298368707241</v>
      </c>
      <c r="AS14" s="59">
        <f t="shared" ref="AS14:AS25" si="26">AW14/(1+$AT14)</f>
        <v>289.99298368707241</v>
      </c>
      <c r="AT14" s="88">
        <v>0.14019999999999999</v>
      </c>
      <c r="AU14" s="52">
        <v>0</v>
      </c>
      <c r="AV14" s="52">
        <v>330.65</v>
      </c>
      <c r="AW14" s="52">
        <f t="shared" si="15"/>
        <v>330.65</v>
      </c>
      <c r="AX14" s="53">
        <f t="shared" si="16"/>
        <v>0</v>
      </c>
      <c r="AY14" s="53">
        <f t="shared" si="17"/>
        <v>24798.75</v>
      </c>
      <c r="AZ14" s="53">
        <f t="shared" si="18"/>
        <v>24798.75</v>
      </c>
      <c r="BJ14" s="55">
        <v>0.35</v>
      </c>
      <c r="BK14" s="97">
        <f t="shared" ref="BK14" si="27">BJ14*$AZ14</f>
        <v>8679.5625</v>
      </c>
      <c r="BL14" s="55">
        <v>0.35</v>
      </c>
      <c r="BM14" s="97">
        <f t="shared" ref="BM14" si="28">BL14*$AZ14</f>
        <v>8679.5625</v>
      </c>
      <c r="BN14" s="55">
        <v>0.3</v>
      </c>
      <c r="BO14" s="97">
        <f t="shared" ref="BO14" si="29">BN14*$AZ14</f>
        <v>7439.625</v>
      </c>
      <c r="BQ14" s="57">
        <f t="shared" si="12"/>
        <v>1</v>
      </c>
      <c r="BR14" s="50">
        <f t="shared" si="3"/>
        <v>24798.75</v>
      </c>
      <c r="BS14" s="39" t="str">
        <f t="shared" si="22"/>
        <v>OK</v>
      </c>
    </row>
    <row r="15" spans="1:71" ht="30" outlineLevel="1" x14ac:dyDescent="0.25">
      <c r="A15" s="8" t="s">
        <v>6</v>
      </c>
      <c r="B15" s="8" t="s">
        <v>20</v>
      </c>
      <c r="C15" s="8" t="s">
        <v>8</v>
      </c>
      <c r="D15" s="9" t="s">
        <v>23</v>
      </c>
      <c r="E15" s="51" t="s">
        <v>9</v>
      </c>
      <c r="F15" s="52">
        <v>120</v>
      </c>
      <c r="G15" s="53">
        <v>19.899999999999999</v>
      </c>
      <c r="H15" s="53">
        <v>0</v>
      </c>
      <c r="I15" s="53">
        <f t="shared" si="19"/>
        <v>19.899999999999999</v>
      </c>
      <c r="J15" s="53">
        <f t="shared" si="5"/>
        <v>2388</v>
      </c>
      <c r="K15" s="58">
        <v>0.27760000000000001</v>
      </c>
      <c r="L15" s="53">
        <f t="shared" si="20"/>
        <v>3050.9</v>
      </c>
      <c r="M15" s="53">
        <f t="shared" si="20"/>
        <v>0</v>
      </c>
      <c r="N15" s="53">
        <f t="shared" si="21"/>
        <v>3050.9</v>
      </c>
      <c r="Z15" s="55">
        <v>0.5</v>
      </c>
      <c r="AA15" s="56">
        <f t="shared" si="13"/>
        <v>1525.45</v>
      </c>
      <c r="AB15" s="55">
        <v>0.5</v>
      </c>
      <c r="AC15" s="56">
        <f t="shared" si="14"/>
        <v>1525.45</v>
      </c>
      <c r="AE15" s="57">
        <f t="shared" si="6"/>
        <v>1</v>
      </c>
      <c r="AF15" s="50">
        <f t="shared" si="0"/>
        <v>3050.9</v>
      </c>
      <c r="AG15" s="39" t="str">
        <f t="shared" si="1"/>
        <v>OK</v>
      </c>
      <c r="AJ15" s="8" t="s">
        <v>6</v>
      </c>
      <c r="AK15" s="8" t="s">
        <v>20</v>
      </c>
      <c r="AL15" s="8" t="s">
        <v>8</v>
      </c>
      <c r="AM15" s="9" t="s">
        <v>23</v>
      </c>
      <c r="AN15" s="51" t="s">
        <v>9</v>
      </c>
      <c r="AO15" s="84">
        <v>120</v>
      </c>
      <c r="AP15" s="52"/>
      <c r="AQ15" s="59">
        <f t="shared" si="24"/>
        <v>0</v>
      </c>
      <c r="AR15" s="59">
        <f t="shared" si="25"/>
        <v>19.89124714962287</v>
      </c>
      <c r="AS15" s="59">
        <f t="shared" si="26"/>
        <v>19.89124714962287</v>
      </c>
      <c r="AT15" s="88">
        <v>0.14019999999999999</v>
      </c>
      <c r="AU15" s="52">
        <v>0</v>
      </c>
      <c r="AV15" s="52">
        <v>22.68</v>
      </c>
      <c r="AW15" s="52">
        <f t="shared" si="15"/>
        <v>22.68</v>
      </c>
      <c r="AX15" s="53">
        <f t="shared" si="16"/>
        <v>0</v>
      </c>
      <c r="AY15" s="53">
        <f t="shared" si="17"/>
        <v>2721.6</v>
      </c>
      <c r="AZ15" s="53">
        <f t="shared" si="18"/>
        <v>2721.6</v>
      </c>
      <c r="BJ15" s="55">
        <v>0.35</v>
      </c>
      <c r="BK15" s="97">
        <f t="shared" ref="BK15" si="30">BJ15*$AZ15</f>
        <v>952.56</v>
      </c>
      <c r="BL15" s="55">
        <v>0.35</v>
      </c>
      <c r="BM15" s="97">
        <f t="shared" ref="BM15" si="31">BL15*$AZ15</f>
        <v>952.56</v>
      </c>
      <c r="BN15" s="55">
        <v>0.3</v>
      </c>
      <c r="BO15" s="97">
        <f t="shared" ref="BO15" si="32">BN15*$AZ15</f>
        <v>816.4799999999999</v>
      </c>
      <c r="BQ15" s="57">
        <f t="shared" si="12"/>
        <v>1</v>
      </c>
      <c r="BR15" s="50">
        <f t="shared" si="3"/>
        <v>2721.6</v>
      </c>
      <c r="BS15" s="39" t="str">
        <f t="shared" si="22"/>
        <v>OK</v>
      </c>
    </row>
    <row r="16" spans="1:71" ht="30" outlineLevel="1" x14ac:dyDescent="0.25">
      <c r="A16" s="8" t="s">
        <v>24</v>
      </c>
      <c r="B16" s="8" t="s">
        <v>25</v>
      </c>
      <c r="C16" s="8" t="s">
        <v>240</v>
      </c>
      <c r="D16" s="9" t="s">
        <v>26</v>
      </c>
      <c r="E16" s="51" t="s">
        <v>17</v>
      </c>
      <c r="F16" s="59">
        <v>50</v>
      </c>
      <c r="G16" s="53">
        <v>4.3499999999999996</v>
      </c>
      <c r="H16" s="53">
        <v>1.1000000000000001</v>
      </c>
      <c r="I16" s="53">
        <f t="shared" si="19"/>
        <v>5.4499999999999993</v>
      </c>
      <c r="J16" s="53">
        <f t="shared" si="5"/>
        <v>272.5</v>
      </c>
      <c r="K16" s="58">
        <v>0.27760000000000001</v>
      </c>
      <c r="L16" s="53">
        <f t="shared" si="20"/>
        <v>277.87</v>
      </c>
      <c r="M16" s="53">
        <f t="shared" si="20"/>
        <v>70.260000000000005</v>
      </c>
      <c r="N16" s="53">
        <f t="shared" si="21"/>
        <v>348.13</v>
      </c>
      <c r="Z16" s="55">
        <v>0.5</v>
      </c>
      <c r="AA16" s="56">
        <f t="shared" si="13"/>
        <v>174.065</v>
      </c>
      <c r="AB16" s="55">
        <v>0.5</v>
      </c>
      <c r="AC16" s="56">
        <f t="shared" si="14"/>
        <v>174.065</v>
      </c>
      <c r="AE16" s="57">
        <f t="shared" si="6"/>
        <v>1</v>
      </c>
      <c r="AF16" s="50">
        <f t="shared" si="0"/>
        <v>348.13</v>
      </c>
      <c r="AG16" s="39" t="str">
        <f t="shared" si="1"/>
        <v>OK</v>
      </c>
      <c r="AJ16" s="8" t="s">
        <v>24</v>
      </c>
      <c r="AK16" s="8" t="s">
        <v>25</v>
      </c>
      <c r="AL16" s="8" t="s">
        <v>240</v>
      </c>
      <c r="AM16" s="9" t="s">
        <v>26</v>
      </c>
      <c r="AN16" s="51" t="s">
        <v>17</v>
      </c>
      <c r="AO16" s="85">
        <v>50</v>
      </c>
      <c r="AP16" s="59"/>
      <c r="AQ16" s="59">
        <f t="shared" si="24"/>
        <v>1.3243290650763022</v>
      </c>
      <c r="AR16" s="59">
        <f t="shared" si="25"/>
        <v>4.0256095421855811</v>
      </c>
      <c r="AS16" s="59">
        <f t="shared" si="26"/>
        <v>5.3499386072618833</v>
      </c>
      <c r="AT16" s="88">
        <v>0.14019999999999999</v>
      </c>
      <c r="AU16" s="59">
        <v>1.51</v>
      </c>
      <c r="AV16" s="59">
        <v>4.59</v>
      </c>
      <c r="AW16" s="52">
        <f t="shared" si="15"/>
        <v>6.1</v>
      </c>
      <c r="AX16" s="53">
        <f t="shared" si="16"/>
        <v>75.5</v>
      </c>
      <c r="AY16" s="53">
        <f t="shared" si="17"/>
        <v>229.5</v>
      </c>
      <c r="AZ16" s="53">
        <f t="shared" si="18"/>
        <v>305</v>
      </c>
      <c r="BL16" s="55">
        <v>0.5</v>
      </c>
      <c r="BM16" s="97">
        <f t="shared" si="11"/>
        <v>152.5</v>
      </c>
      <c r="BN16" s="55">
        <v>0.5</v>
      </c>
      <c r="BO16" s="97">
        <f t="shared" si="11"/>
        <v>152.5</v>
      </c>
      <c r="BQ16" s="57">
        <f t="shared" si="12"/>
        <v>1</v>
      </c>
      <c r="BR16" s="50">
        <f t="shared" si="3"/>
        <v>305</v>
      </c>
      <c r="BS16" s="39" t="str">
        <f t="shared" si="22"/>
        <v>OK</v>
      </c>
    </row>
    <row r="17" spans="1:71" ht="30" outlineLevel="1" x14ac:dyDescent="0.25">
      <c r="A17" s="8" t="s">
        <v>24</v>
      </c>
      <c r="B17" s="8" t="s">
        <v>22</v>
      </c>
      <c r="C17" s="8" t="s">
        <v>241</v>
      </c>
      <c r="D17" s="9" t="s">
        <v>27</v>
      </c>
      <c r="E17" s="51" t="s">
        <v>28</v>
      </c>
      <c r="F17" s="59">
        <v>300</v>
      </c>
      <c r="G17" s="53">
        <v>0.96</v>
      </c>
      <c r="H17" s="53">
        <v>0</v>
      </c>
      <c r="I17" s="53">
        <f t="shared" si="19"/>
        <v>0.96</v>
      </c>
      <c r="J17" s="53">
        <f t="shared" si="5"/>
        <v>288</v>
      </c>
      <c r="K17" s="58">
        <v>0.27760000000000001</v>
      </c>
      <c r="L17" s="53">
        <f t="shared" si="20"/>
        <v>367.94</v>
      </c>
      <c r="M17" s="53">
        <f t="shared" si="20"/>
        <v>0</v>
      </c>
      <c r="N17" s="53">
        <f t="shared" si="21"/>
        <v>367.94</v>
      </c>
      <c r="Z17" s="55">
        <v>0.5</v>
      </c>
      <c r="AA17" s="56">
        <f t="shared" si="13"/>
        <v>183.97</v>
      </c>
      <c r="AB17" s="55">
        <v>0.5</v>
      </c>
      <c r="AC17" s="56">
        <f t="shared" si="14"/>
        <v>183.97</v>
      </c>
      <c r="AE17" s="57">
        <f t="shared" si="6"/>
        <v>1</v>
      </c>
      <c r="AF17" s="50">
        <f t="shared" si="0"/>
        <v>367.94</v>
      </c>
      <c r="AG17" s="39" t="str">
        <f t="shared" si="1"/>
        <v>OK</v>
      </c>
      <c r="AJ17" s="8" t="s">
        <v>24</v>
      </c>
      <c r="AK17" s="8" t="s">
        <v>22</v>
      </c>
      <c r="AL17" s="8" t="s">
        <v>241</v>
      </c>
      <c r="AM17" s="9" t="s">
        <v>27</v>
      </c>
      <c r="AN17" s="51" t="s">
        <v>28</v>
      </c>
      <c r="AO17" s="85">
        <v>300</v>
      </c>
      <c r="AP17" s="59"/>
      <c r="AQ17" s="59">
        <f t="shared" si="24"/>
        <v>0</v>
      </c>
      <c r="AR17" s="59">
        <f t="shared" si="25"/>
        <v>0.95597263637958252</v>
      </c>
      <c r="AS17" s="59">
        <f t="shared" si="26"/>
        <v>0.95597263637958252</v>
      </c>
      <c r="AT17" s="88">
        <v>0.14019999999999999</v>
      </c>
      <c r="AU17" s="59">
        <v>0</v>
      </c>
      <c r="AV17" s="59">
        <v>1.0900000000000001</v>
      </c>
      <c r="AW17" s="52">
        <f t="shared" si="15"/>
        <v>1.0900000000000001</v>
      </c>
      <c r="AX17" s="53">
        <f t="shared" si="16"/>
        <v>0</v>
      </c>
      <c r="AY17" s="53">
        <f t="shared" si="17"/>
        <v>327</v>
      </c>
      <c r="AZ17" s="53">
        <f t="shared" si="18"/>
        <v>327</v>
      </c>
      <c r="BL17" s="55">
        <v>0.5</v>
      </c>
      <c r="BM17" s="97">
        <f t="shared" si="11"/>
        <v>163.5</v>
      </c>
      <c r="BN17" s="55">
        <v>0.5</v>
      </c>
      <c r="BO17" s="97">
        <f t="shared" si="11"/>
        <v>163.5</v>
      </c>
      <c r="BQ17" s="57">
        <f t="shared" si="12"/>
        <v>1</v>
      </c>
      <c r="BR17" s="50">
        <f t="shared" si="3"/>
        <v>327</v>
      </c>
      <c r="BS17" s="39" t="str">
        <f t="shared" si="22"/>
        <v>OK</v>
      </c>
    </row>
    <row r="18" spans="1:71" outlineLevel="1" x14ac:dyDescent="0.25">
      <c r="A18" s="60" t="s">
        <v>6</v>
      </c>
      <c r="B18" s="8" t="s">
        <v>29</v>
      </c>
      <c r="C18" s="60" t="s">
        <v>8</v>
      </c>
      <c r="D18" s="61" t="s">
        <v>327</v>
      </c>
      <c r="E18" s="62" t="s">
        <v>9</v>
      </c>
      <c r="F18" s="63">
        <v>2</v>
      </c>
      <c r="G18" s="53">
        <f>AVERAGE(84.9,79.9,78,90)</f>
        <v>83.2</v>
      </c>
      <c r="H18" s="53">
        <v>0</v>
      </c>
      <c r="I18" s="53">
        <f t="shared" si="19"/>
        <v>83.2</v>
      </c>
      <c r="J18" s="53">
        <f t="shared" si="5"/>
        <v>166.4</v>
      </c>
      <c r="K18" s="58">
        <v>0.27760000000000001</v>
      </c>
      <c r="L18" s="53">
        <f t="shared" si="20"/>
        <v>212.59</v>
      </c>
      <c r="M18" s="53">
        <f t="shared" si="20"/>
        <v>0</v>
      </c>
      <c r="N18" s="53">
        <f t="shared" si="21"/>
        <v>212.59</v>
      </c>
      <c r="Z18" s="55">
        <v>0.5</v>
      </c>
      <c r="AA18" s="56">
        <f t="shared" si="13"/>
        <v>106.295</v>
      </c>
      <c r="AB18" s="55">
        <v>0.5</v>
      </c>
      <c r="AC18" s="56">
        <f t="shared" si="14"/>
        <v>106.295</v>
      </c>
      <c r="AE18" s="57">
        <f t="shared" si="6"/>
        <v>1</v>
      </c>
      <c r="AF18" s="50">
        <f t="shared" si="0"/>
        <v>212.59</v>
      </c>
      <c r="AG18" s="39" t="str">
        <f t="shared" si="1"/>
        <v>OK</v>
      </c>
      <c r="AJ18" s="60" t="s">
        <v>6</v>
      </c>
      <c r="AK18" s="8" t="s">
        <v>29</v>
      </c>
      <c r="AL18" s="60" t="s">
        <v>8</v>
      </c>
      <c r="AM18" s="61" t="s">
        <v>327</v>
      </c>
      <c r="AN18" s="62" t="s">
        <v>9</v>
      </c>
      <c r="AO18" s="86">
        <v>2</v>
      </c>
      <c r="AP18" s="63"/>
      <c r="AQ18" s="59">
        <f t="shared" si="24"/>
        <v>0</v>
      </c>
      <c r="AR18" s="59">
        <f t="shared" si="25"/>
        <v>83.195930538502012</v>
      </c>
      <c r="AS18" s="59">
        <f t="shared" si="26"/>
        <v>83.195930538502012</v>
      </c>
      <c r="AT18" s="88">
        <v>0.14019999999999999</v>
      </c>
      <c r="AU18" s="63">
        <v>0</v>
      </c>
      <c r="AV18" s="63">
        <v>94.86</v>
      </c>
      <c r="AW18" s="52">
        <f t="shared" si="15"/>
        <v>94.86</v>
      </c>
      <c r="AX18" s="53">
        <f t="shared" si="16"/>
        <v>0</v>
      </c>
      <c r="AY18" s="53">
        <f t="shared" si="17"/>
        <v>189.72</v>
      </c>
      <c r="AZ18" s="53">
        <f t="shared" si="18"/>
        <v>189.72</v>
      </c>
      <c r="BL18" s="55">
        <v>0.5</v>
      </c>
      <c r="BM18" s="97">
        <f t="shared" si="11"/>
        <v>94.86</v>
      </c>
      <c r="BN18" s="55">
        <v>0.5</v>
      </c>
      <c r="BO18" s="97">
        <f t="shared" si="11"/>
        <v>94.86</v>
      </c>
      <c r="BQ18" s="57">
        <f t="shared" si="12"/>
        <v>1</v>
      </c>
      <c r="BR18" s="50">
        <f t="shared" si="3"/>
        <v>189.72</v>
      </c>
      <c r="BS18" s="39" t="str">
        <f t="shared" si="22"/>
        <v>OK</v>
      </c>
    </row>
    <row r="19" spans="1:71" outlineLevel="1" x14ac:dyDescent="0.25">
      <c r="A19" s="8" t="s">
        <v>24</v>
      </c>
      <c r="B19" s="8" t="s">
        <v>30</v>
      </c>
      <c r="C19" s="8" t="s">
        <v>242</v>
      </c>
      <c r="D19" s="9" t="s">
        <v>31</v>
      </c>
      <c r="E19" s="51" t="s">
        <v>9</v>
      </c>
      <c r="F19" s="59">
        <v>6</v>
      </c>
      <c r="G19" s="53">
        <v>12.25</v>
      </c>
      <c r="H19" s="53">
        <v>0</v>
      </c>
      <c r="I19" s="53">
        <f t="shared" si="19"/>
        <v>12.25</v>
      </c>
      <c r="J19" s="53">
        <f t="shared" si="5"/>
        <v>73.5</v>
      </c>
      <c r="K19" s="58">
        <v>0.27760000000000001</v>
      </c>
      <c r="L19" s="53">
        <f t="shared" si="20"/>
        <v>93.9</v>
      </c>
      <c r="M19" s="53">
        <f t="shared" si="20"/>
        <v>0</v>
      </c>
      <c r="N19" s="53">
        <f t="shared" si="21"/>
        <v>93.9</v>
      </c>
      <c r="Z19" s="55">
        <v>0.5</v>
      </c>
      <c r="AA19" s="56">
        <f t="shared" si="13"/>
        <v>46.95</v>
      </c>
      <c r="AB19" s="55">
        <v>0.5</v>
      </c>
      <c r="AC19" s="56">
        <f t="shared" si="14"/>
        <v>46.95</v>
      </c>
      <c r="AE19" s="57">
        <f t="shared" si="6"/>
        <v>1</v>
      </c>
      <c r="AF19" s="50">
        <f t="shared" si="0"/>
        <v>93.9</v>
      </c>
      <c r="AG19" s="39" t="str">
        <f t="shared" si="1"/>
        <v>OK</v>
      </c>
      <c r="AJ19" s="8" t="s">
        <v>24</v>
      </c>
      <c r="AK19" s="8" t="s">
        <v>30</v>
      </c>
      <c r="AL19" s="8" t="s">
        <v>242</v>
      </c>
      <c r="AM19" s="9" t="s">
        <v>31</v>
      </c>
      <c r="AN19" s="51" t="s">
        <v>9</v>
      </c>
      <c r="AO19" s="85">
        <v>6</v>
      </c>
      <c r="AP19" s="59"/>
      <c r="AQ19" s="59">
        <f t="shared" si="24"/>
        <v>0</v>
      </c>
      <c r="AR19" s="59">
        <f t="shared" si="25"/>
        <v>12.024206279600071</v>
      </c>
      <c r="AS19" s="59">
        <f t="shared" si="26"/>
        <v>12.024206279600071</v>
      </c>
      <c r="AT19" s="88">
        <v>0.14019999999999999</v>
      </c>
      <c r="AU19" s="59">
        <v>0</v>
      </c>
      <c r="AV19" s="59">
        <v>13.71</v>
      </c>
      <c r="AW19" s="52">
        <f t="shared" si="15"/>
        <v>13.71</v>
      </c>
      <c r="AX19" s="53">
        <f t="shared" si="16"/>
        <v>0</v>
      </c>
      <c r="AY19" s="53">
        <f t="shared" si="17"/>
        <v>82.26</v>
      </c>
      <c r="AZ19" s="53">
        <f t="shared" si="18"/>
        <v>82.26</v>
      </c>
      <c r="BL19" s="55">
        <v>0.5</v>
      </c>
      <c r="BM19" s="97">
        <f t="shared" si="11"/>
        <v>41.13</v>
      </c>
      <c r="BN19" s="55">
        <v>0.5</v>
      </c>
      <c r="BO19" s="97">
        <f t="shared" si="11"/>
        <v>41.13</v>
      </c>
      <c r="BQ19" s="57">
        <f t="shared" si="12"/>
        <v>1</v>
      </c>
      <c r="BR19" s="50">
        <f t="shared" si="3"/>
        <v>82.26</v>
      </c>
      <c r="BS19" s="39" t="str">
        <f t="shared" si="22"/>
        <v>OK</v>
      </c>
    </row>
    <row r="20" spans="1:71" ht="30" outlineLevel="1" x14ac:dyDescent="0.25">
      <c r="A20" s="8" t="s">
        <v>24</v>
      </c>
      <c r="B20" s="8" t="s">
        <v>32</v>
      </c>
      <c r="C20" s="8" t="s">
        <v>243</v>
      </c>
      <c r="D20" s="9" t="s">
        <v>33</v>
      </c>
      <c r="E20" s="51" t="s">
        <v>34</v>
      </c>
      <c r="F20" s="59">
        <v>2</v>
      </c>
      <c r="G20" s="53">
        <v>29.43</v>
      </c>
      <c r="H20" s="53">
        <v>0</v>
      </c>
      <c r="I20" s="53">
        <f t="shared" si="19"/>
        <v>29.43</v>
      </c>
      <c r="J20" s="53">
        <f t="shared" si="5"/>
        <v>58.86</v>
      </c>
      <c r="K20" s="58">
        <v>0.27760000000000001</v>
      </c>
      <c r="L20" s="53">
        <f t="shared" si="20"/>
        <v>75.19</v>
      </c>
      <c r="M20" s="53">
        <f t="shared" si="20"/>
        <v>0</v>
      </c>
      <c r="N20" s="53">
        <f t="shared" si="21"/>
        <v>75.19</v>
      </c>
      <c r="Z20" s="55">
        <v>0.5</v>
      </c>
      <c r="AA20" s="56">
        <f t="shared" si="13"/>
        <v>37.594999999999999</v>
      </c>
      <c r="AB20" s="55">
        <v>0.5</v>
      </c>
      <c r="AC20" s="56">
        <f t="shared" si="14"/>
        <v>37.594999999999999</v>
      </c>
      <c r="AE20" s="57">
        <f t="shared" si="6"/>
        <v>1</v>
      </c>
      <c r="AF20" s="50">
        <f t="shared" si="0"/>
        <v>75.19</v>
      </c>
      <c r="AG20" s="39" t="str">
        <f t="shared" si="1"/>
        <v>OK</v>
      </c>
      <c r="AJ20" s="8" t="s">
        <v>24</v>
      </c>
      <c r="AK20" s="8" t="s">
        <v>32</v>
      </c>
      <c r="AL20" s="8" t="s">
        <v>243</v>
      </c>
      <c r="AM20" s="9" t="s">
        <v>33</v>
      </c>
      <c r="AN20" s="51" t="s">
        <v>34</v>
      </c>
      <c r="AO20" s="85">
        <v>2</v>
      </c>
      <c r="AP20" s="59"/>
      <c r="AQ20" s="59">
        <f t="shared" si="24"/>
        <v>0</v>
      </c>
      <c r="AR20" s="59">
        <f t="shared" si="25"/>
        <v>29.424662339940355</v>
      </c>
      <c r="AS20" s="59">
        <f t="shared" si="26"/>
        <v>29.424662339940355</v>
      </c>
      <c r="AT20" s="88">
        <v>0.14019999999999999</v>
      </c>
      <c r="AU20" s="59">
        <v>0</v>
      </c>
      <c r="AV20" s="59">
        <v>33.549999999999997</v>
      </c>
      <c r="AW20" s="52">
        <f t="shared" si="15"/>
        <v>33.549999999999997</v>
      </c>
      <c r="AX20" s="53">
        <f t="shared" si="16"/>
        <v>0</v>
      </c>
      <c r="AY20" s="53">
        <f t="shared" si="17"/>
        <v>67.099999999999994</v>
      </c>
      <c r="AZ20" s="53">
        <f t="shared" si="18"/>
        <v>67.099999999999994</v>
      </c>
      <c r="BL20" s="55">
        <v>0.5</v>
      </c>
      <c r="BM20" s="97">
        <f t="shared" si="11"/>
        <v>33.549999999999997</v>
      </c>
      <c r="BN20" s="55">
        <v>0.5</v>
      </c>
      <c r="BO20" s="97">
        <f t="shared" si="11"/>
        <v>33.549999999999997</v>
      </c>
      <c r="BQ20" s="57">
        <f t="shared" si="12"/>
        <v>1</v>
      </c>
      <c r="BR20" s="50">
        <f t="shared" si="3"/>
        <v>67.099999999999994</v>
      </c>
      <c r="BS20" s="39" t="str">
        <f t="shared" si="22"/>
        <v>OK</v>
      </c>
    </row>
    <row r="21" spans="1:71" outlineLevel="1" x14ac:dyDescent="0.25">
      <c r="A21" s="8" t="s">
        <v>24</v>
      </c>
      <c r="B21" s="8" t="s">
        <v>231</v>
      </c>
      <c r="C21" s="8" t="s">
        <v>257</v>
      </c>
      <c r="D21" s="9" t="s">
        <v>328</v>
      </c>
      <c r="E21" s="8" t="s">
        <v>69</v>
      </c>
      <c r="F21" s="59">
        <v>110</v>
      </c>
      <c r="G21" s="53">
        <v>4.5599999999999996</v>
      </c>
      <c r="H21" s="53">
        <v>20.29</v>
      </c>
      <c r="I21" s="53">
        <f t="shared" si="19"/>
        <v>24.849999999999998</v>
      </c>
      <c r="J21" s="53">
        <f t="shared" si="5"/>
        <v>2733.5</v>
      </c>
      <c r="K21" s="58">
        <v>0.27760000000000001</v>
      </c>
      <c r="L21" s="53">
        <f t="shared" si="20"/>
        <v>640.84</v>
      </c>
      <c r="M21" s="53">
        <f t="shared" si="20"/>
        <v>2851.47</v>
      </c>
      <c r="N21" s="53">
        <f t="shared" si="21"/>
        <v>3492.31</v>
      </c>
      <c r="Z21" s="55">
        <v>0.25</v>
      </c>
      <c r="AA21" s="56">
        <f t="shared" si="13"/>
        <v>873.07749999999999</v>
      </c>
      <c r="AB21" s="55">
        <v>0.75</v>
      </c>
      <c r="AC21" s="56">
        <f t="shared" si="14"/>
        <v>2619.2325000000001</v>
      </c>
      <c r="AE21" s="57">
        <f t="shared" si="6"/>
        <v>1</v>
      </c>
      <c r="AF21" s="50">
        <f t="shared" si="0"/>
        <v>3492.31</v>
      </c>
      <c r="AG21" s="39" t="str">
        <f t="shared" si="1"/>
        <v>OK</v>
      </c>
      <c r="AJ21" s="8" t="s">
        <v>24</v>
      </c>
      <c r="AK21" s="8" t="s">
        <v>231</v>
      </c>
      <c r="AL21" s="8" t="s">
        <v>257</v>
      </c>
      <c r="AM21" s="9" t="s">
        <v>328</v>
      </c>
      <c r="AN21" s="8" t="s">
        <v>69</v>
      </c>
      <c r="AO21" s="85">
        <v>110</v>
      </c>
      <c r="AP21" s="59"/>
      <c r="AQ21" s="59">
        <f t="shared" si="24"/>
        <v>20.750745483248551</v>
      </c>
      <c r="AR21" s="59">
        <f t="shared" si="25"/>
        <v>4.0256095421855811</v>
      </c>
      <c r="AS21" s="59">
        <f t="shared" si="26"/>
        <v>24.776355025434132</v>
      </c>
      <c r="AT21" s="88">
        <v>0.14019999999999999</v>
      </c>
      <c r="AU21" s="59">
        <v>23.66</v>
      </c>
      <c r="AV21" s="59">
        <v>4.59</v>
      </c>
      <c r="AW21" s="52">
        <f t="shared" si="15"/>
        <v>28.25</v>
      </c>
      <c r="AX21" s="53">
        <f t="shared" si="16"/>
        <v>2602.6</v>
      </c>
      <c r="AY21" s="53">
        <f t="shared" si="17"/>
        <v>504.9</v>
      </c>
      <c r="AZ21" s="53">
        <f t="shared" si="18"/>
        <v>3107.5</v>
      </c>
      <c r="BL21" s="55">
        <v>0.25</v>
      </c>
      <c r="BM21" s="97">
        <f t="shared" si="11"/>
        <v>776.875</v>
      </c>
      <c r="BN21" s="55">
        <v>0.75</v>
      </c>
      <c r="BO21" s="97">
        <f t="shared" si="11"/>
        <v>2330.625</v>
      </c>
      <c r="BQ21" s="57">
        <f t="shared" si="12"/>
        <v>1</v>
      </c>
      <c r="BR21" s="50">
        <f t="shared" si="3"/>
        <v>3107.5</v>
      </c>
      <c r="BS21" s="39" t="str">
        <f t="shared" si="22"/>
        <v>OK</v>
      </c>
    </row>
    <row r="22" spans="1:71" outlineLevel="1" x14ac:dyDescent="0.25">
      <c r="A22" s="8" t="s">
        <v>24</v>
      </c>
      <c r="B22" s="8" t="s">
        <v>232</v>
      </c>
      <c r="C22" s="8" t="s">
        <v>259</v>
      </c>
      <c r="D22" s="9" t="s">
        <v>329</v>
      </c>
      <c r="E22" s="8" t="s">
        <v>69</v>
      </c>
      <c r="F22" s="59">
        <v>220</v>
      </c>
      <c r="G22" s="53">
        <v>4.43</v>
      </c>
      <c r="H22" s="53">
        <v>11.83</v>
      </c>
      <c r="I22" s="53">
        <f t="shared" si="19"/>
        <v>16.259999999999998</v>
      </c>
      <c r="J22" s="53">
        <f t="shared" si="5"/>
        <v>3577.2</v>
      </c>
      <c r="K22" s="58">
        <v>0.27760000000000001</v>
      </c>
      <c r="L22" s="53">
        <f t="shared" si="20"/>
        <v>1245.1400000000001</v>
      </c>
      <c r="M22" s="53">
        <f t="shared" si="20"/>
        <v>3325.08</v>
      </c>
      <c r="N22" s="53">
        <f t="shared" si="21"/>
        <v>4570.22</v>
      </c>
      <c r="Z22" s="55">
        <v>0.25</v>
      </c>
      <c r="AA22" s="56">
        <f t="shared" si="13"/>
        <v>1142.5550000000001</v>
      </c>
      <c r="AB22" s="55">
        <v>0.75</v>
      </c>
      <c r="AC22" s="56">
        <f t="shared" si="14"/>
        <v>3427.665</v>
      </c>
      <c r="AE22" s="57">
        <f t="shared" si="6"/>
        <v>1</v>
      </c>
      <c r="AF22" s="50">
        <f t="shared" si="0"/>
        <v>4570.22</v>
      </c>
      <c r="AG22" s="39" t="str">
        <f t="shared" si="1"/>
        <v>OK</v>
      </c>
      <c r="AJ22" s="8" t="s">
        <v>24</v>
      </c>
      <c r="AK22" s="8" t="s">
        <v>232</v>
      </c>
      <c r="AL22" s="8" t="s">
        <v>259</v>
      </c>
      <c r="AM22" s="9" t="s">
        <v>329</v>
      </c>
      <c r="AN22" s="8" t="s">
        <v>69</v>
      </c>
      <c r="AO22" s="85">
        <v>220</v>
      </c>
      <c r="AP22" s="59"/>
      <c r="AQ22" s="59">
        <f t="shared" si="24"/>
        <v>12.199614102788983</v>
      </c>
      <c r="AR22" s="59">
        <f t="shared" si="25"/>
        <v>3.9817575863883525</v>
      </c>
      <c r="AS22" s="59">
        <f t="shared" si="26"/>
        <v>16.181371689177336</v>
      </c>
      <c r="AT22" s="88">
        <v>0.14019999999999999</v>
      </c>
      <c r="AU22" s="59">
        <v>13.91</v>
      </c>
      <c r="AV22" s="59">
        <v>4.54</v>
      </c>
      <c r="AW22" s="52">
        <f t="shared" si="15"/>
        <v>18.45</v>
      </c>
      <c r="AX22" s="53">
        <f t="shared" si="16"/>
        <v>3060.2</v>
      </c>
      <c r="AY22" s="53">
        <f t="shared" si="17"/>
        <v>998.8</v>
      </c>
      <c r="AZ22" s="53">
        <f t="shared" si="18"/>
        <v>4059</v>
      </c>
      <c r="BL22" s="55">
        <v>0.25</v>
      </c>
      <c r="BM22" s="97">
        <f t="shared" si="11"/>
        <v>1014.75</v>
      </c>
      <c r="BN22" s="55">
        <v>0.75</v>
      </c>
      <c r="BO22" s="97">
        <f t="shared" si="11"/>
        <v>3044.25</v>
      </c>
      <c r="BQ22" s="57">
        <f t="shared" si="12"/>
        <v>1</v>
      </c>
      <c r="BR22" s="50">
        <f t="shared" si="3"/>
        <v>4059</v>
      </c>
      <c r="BS22" s="39" t="str">
        <f t="shared" si="22"/>
        <v>OK</v>
      </c>
    </row>
    <row r="23" spans="1:71" ht="45" outlineLevel="1" x14ac:dyDescent="0.25">
      <c r="A23" s="8" t="s">
        <v>24</v>
      </c>
      <c r="B23" s="8" t="s">
        <v>235</v>
      </c>
      <c r="C23" s="8" t="s">
        <v>258</v>
      </c>
      <c r="D23" s="9" t="s">
        <v>401</v>
      </c>
      <c r="E23" s="8" t="s">
        <v>69</v>
      </c>
      <c r="F23" s="59">
        <v>55</v>
      </c>
      <c r="G23" s="53">
        <v>0.95</v>
      </c>
      <c r="H23" s="53">
        <v>76.95</v>
      </c>
      <c r="I23" s="53">
        <f t="shared" si="19"/>
        <v>77.900000000000006</v>
      </c>
      <c r="J23" s="53">
        <f t="shared" si="5"/>
        <v>4284.5</v>
      </c>
      <c r="K23" s="58">
        <v>0.27760000000000001</v>
      </c>
      <c r="L23" s="53">
        <f t="shared" si="20"/>
        <v>66.75</v>
      </c>
      <c r="M23" s="53">
        <f t="shared" si="20"/>
        <v>5407.12</v>
      </c>
      <c r="N23" s="53">
        <f t="shared" si="21"/>
        <v>5473.87</v>
      </c>
      <c r="T23" s="55">
        <v>0.4</v>
      </c>
      <c r="U23" s="56">
        <f>T23*$N23</f>
        <v>2189.5480000000002</v>
      </c>
      <c r="X23" s="55">
        <v>0.2</v>
      </c>
      <c r="Y23" s="56">
        <f>X23*$N23</f>
        <v>1094.7740000000001</v>
      </c>
      <c r="Z23" s="55">
        <v>0.2</v>
      </c>
      <c r="AA23" s="56">
        <f>Z23*$N23</f>
        <v>1094.7740000000001</v>
      </c>
      <c r="AB23" s="55">
        <v>0.2</v>
      </c>
      <c r="AC23" s="56">
        <f>AB23*$N23</f>
        <v>1094.7740000000001</v>
      </c>
      <c r="AE23" s="57">
        <f t="shared" si="6"/>
        <v>1</v>
      </c>
      <c r="AF23" s="50">
        <f t="shared" si="0"/>
        <v>5473.8700000000008</v>
      </c>
      <c r="AG23" s="39" t="str">
        <f t="shared" si="1"/>
        <v>OK</v>
      </c>
      <c r="AJ23" s="8" t="s">
        <v>24</v>
      </c>
      <c r="AK23" s="8" t="s">
        <v>235</v>
      </c>
      <c r="AL23" s="8" t="s">
        <v>258</v>
      </c>
      <c r="AM23" s="9" t="s">
        <v>401</v>
      </c>
      <c r="AN23" s="8" t="s">
        <v>69</v>
      </c>
      <c r="AO23" s="85">
        <v>55</v>
      </c>
      <c r="AP23" s="59"/>
      <c r="AQ23" s="59">
        <f t="shared" si="24"/>
        <v>77.039115944571122</v>
      </c>
      <c r="AR23" s="59">
        <f t="shared" si="25"/>
        <v>0.81564637782845106</v>
      </c>
      <c r="AS23" s="59">
        <f t="shared" si="26"/>
        <v>77.85476232239958</v>
      </c>
      <c r="AT23" s="88">
        <v>0.14019999999999999</v>
      </c>
      <c r="AU23" s="59">
        <v>87.84</v>
      </c>
      <c r="AV23" s="59">
        <v>0.93</v>
      </c>
      <c r="AW23" s="52">
        <f t="shared" si="15"/>
        <v>88.77000000000001</v>
      </c>
      <c r="AX23" s="53">
        <f t="shared" si="16"/>
        <v>4831.2</v>
      </c>
      <c r="AY23" s="53">
        <f t="shared" si="17"/>
        <v>51.150000000000006</v>
      </c>
      <c r="AZ23" s="53">
        <f t="shared" si="18"/>
        <v>4882.3500000000004</v>
      </c>
      <c r="BF23" s="55">
        <v>0.4</v>
      </c>
      <c r="BG23" s="97">
        <f>BF23*$AZ23</f>
        <v>1952.9400000000003</v>
      </c>
      <c r="BJ23" s="55">
        <v>0.2</v>
      </c>
      <c r="BK23" s="97">
        <f>BJ23*$AZ23</f>
        <v>976.47000000000014</v>
      </c>
      <c r="BL23" s="55">
        <v>0.2</v>
      </c>
      <c r="BM23" s="97">
        <f t="shared" si="11"/>
        <v>976.47000000000014</v>
      </c>
      <c r="BN23" s="55">
        <v>0.2</v>
      </c>
      <c r="BO23" s="97">
        <f t="shared" si="11"/>
        <v>976.47000000000014</v>
      </c>
      <c r="BQ23" s="57">
        <f t="shared" si="12"/>
        <v>1</v>
      </c>
      <c r="BR23" s="50">
        <f t="shared" si="3"/>
        <v>4882.3500000000004</v>
      </c>
      <c r="BS23" s="39" t="str">
        <f t="shared" si="22"/>
        <v>OK</v>
      </c>
    </row>
    <row r="24" spans="1:71" outlineLevel="1" x14ac:dyDescent="0.25">
      <c r="A24" s="60" t="s">
        <v>6</v>
      </c>
      <c r="B24" s="8" t="s">
        <v>236</v>
      </c>
      <c r="C24" s="64" t="s">
        <v>8</v>
      </c>
      <c r="D24" s="9" t="s">
        <v>237</v>
      </c>
      <c r="E24" s="62" t="s">
        <v>9</v>
      </c>
      <c r="F24" s="59">
        <v>1</v>
      </c>
      <c r="G24" s="53">
        <v>226.5</v>
      </c>
      <c r="H24" s="53">
        <v>0</v>
      </c>
      <c r="I24" s="53">
        <f t="shared" si="19"/>
        <v>226.5</v>
      </c>
      <c r="J24" s="53">
        <f t="shared" si="5"/>
        <v>226.5</v>
      </c>
      <c r="K24" s="58">
        <v>0.27760000000000001</v>
      </c>
      <c r="L24" s="53">
        <f t="shared" si="20"/>
        <v>289.37</v>
      </c>
      <c r="M24" s="53">
        <f t="shared" si="20"/>
        <v>0</v>
      </c>
      <c r="N24" s="53">
        <f t="shared" si="21"/>
        <v>289.37</v>
      </c>
      <c r="T24" s="55">
        <v>1</v>
      </c>
      <c r="U24" s="56">
        <f>T24*$N24</f>
        <v>289.37</v>
      </c>
      <c r="AE24" s="57">
        <f t="shared" ref="AE24" si="33">SUM(T24,X24,Z24,AB24)</f>
        <v>1</v>
      </c>
      <c r="AF24" s="50">
        <f t="shared" ref="AF24" si="34">SUM(U24,Y24,AA24,AC24)</f>
        <v>289.37</v>
      </c>
      <c r="AG24" s="39" t="str">
        <f t="shared" ref="AG24" si="35">IF(AF24=N24,"OK","VERIFICAR")</f>
        <v>OK</v>
      </c>
      <c r="AJ24" s="60" t="s">
        <v>6</v>
      </c>
      <c r="AK24" s="8" t="s">
        <v>236</v>
      </c>
      <c r="AL24" s="64" t="s">
        <v>8</v>
      </c>
      <c r="AM24" s="9" t="s">
        <v>237</v>
      </c>
      <c r="AN24" s="62" t="s">
        <v>9</v>
      </c>
      <c r="AO24" s="85">
        <v>1</v>
      </c>
      <c r="AP24" s="59"/>
      <c r="AQ24" s="59">
        <f t="shared" si="24"/>
        <v>0</v>
      </c>
      <c r="AR24" s="59">
        <f t="shared" si="25"/>
        <v>226.49535169268546</v>
      </c>
      <c r="AS24" s="59">
        <f t="shared" si="26"/>
        <v>226.49535169268546</v>
      </c>
      <c r="AT24" s="88">
        <v>0.14019999999999999</v>
      </c>
      <c r="AU24" s="59">
        <v>0</v>
      </c>
      <c r="AV24" s="59">
        <v>258.25</v>
      </c>
      <c r="AW24" s="52">
        <f t="shared" si="15"/>
        <v>258.25</v>
      </c>
      <c r="AX24" s="53">
        <f t="shared" si="16"/>
        <v>0</v>
      </c>
      <c r="AY24" s="53">
        <f t="shared" si="17"/>
        <v>258.25</v>
      </c>
      <c r="AZ24" s="53">
        <f t="shared" si="18"/>
        <v>258.25</v>
      </c>
      <c r="BF24" s="55">
        <v>1</v>
      </c>
      <c r="BG24" s="97">
        <f>BF24*$AZ24</f>
        <v>258.25</v>
      </c>
      <c r="BQ24" s="57">
        <f t="shared" si="12"/>
        <v>1</v>
      </c>
      <c r="BR24" s="50">
        <f t="shared" si="3"/>
        <v>258.25</v>
      </c>
      <c r="BS24" s="39" t="str">
        <f t="shared" si="22"/>
        <v>OK</v>
      </c>
    </row>
    <row r="25" spans="1:71" ht="30" outlineLevel="1" x14ac:dyDescent="0.25">
      <c r="A25" s="8" t="s">
        <v>24</v>
      </c>
      <c r="B25" s="8" t="s">
        <v>330</v>
      </c>
      <c r="C25" s="64" t="s">
        <v>331</v>
      </c>
      <c r="D25" s="9" t="s">
        <v>333</v>
      </c>
      <c r="E25" s="62" t="s">
        <v>332</v>
      </c>
      <c r="F25" s="59">
        <f>5*2*2</f>
        <v>20</v>
      </c>
      <c r="G25" s="53">
        <v>12.5</v>
      </c>
      <c r="H25" s="53">
        <v>0</v>
      </c>
      <c r="I25" s="53">
        <f t="shared" si="19"/>
        <v>12.5</v>
      </c>
      <c r="J25" s="53">
        <f t="shared" si="5"/>
        <v>250</v>
      </c>
      <c r="K25" s="58">
        <v>0.27760000000000001</v>
      </c>
      <c r="L25" s="53">
        <f t="shared" si="20"/>
        <v>319.39999999999998</v>
      </c>
      <c r="M25" s="53">
        <f t="shared" si="20"/>
        <v>0</v>
      </c>
      <c r="N25" s="53">
        <f t="shared" si="21"/>
        <v>319.39999999999998</v>
      </c>
      <c r="Z25" s="55">
        <v>0.5</v>
      </c>
      <c r="AA25" s="56">
        <f>Z25*$N25</f>
        <v>159.69999999999999</v>
      </c>
      <c r="AB25" s="55">
        <v>0.5</v>
      </c>
      <c r="AC25" s="56">
        <f>AB25*$N25</f>
        <v>159.69999999999999</v>
      </c>
      <c r="AE25" s="57">
        <f t="shared" si="6"/>
        <v>1</v>
      </c>
      <c r="AF25" s="50">
        <f>SUM(U25,Y25,AA25,AC25)</f>
        <v>319.39999999999998</v>
      </c>
      <c r="AG25" s="39" t="str">
        <f>IF(AF25=N25,"OK","VERIFICAR")</f>
        <v>OK</v>
      </c>
      <c r="AJ25" s="8" t="s">
        <v>24</v>
      </c>
      <c r="AK25" s="8" t="s">
        <v>330</v>
      </c>
      <c r="AL25" s="64" t="s">
        <v>331</v>
      </c>
      <c r="AM25" s="9" t="s">
        <v>333</v>
      </c>
      <c r="AN25" s="62" t="s">
        <v>332</v>
      </c>
      <c r="AO25" s="85">
        <f>5*2*2</f>
        <v>20</v>
      </c>
      <c r="AP25" s="59"/>
      <c r="AQ25" s="59">
        <f t="shared" si="24"/>
        <v>0</v>
      </c>
      <c r="AR25" s="59">
        <f t="shared" si="25"/>
        <v>11.559375548149447</v>
      </c>
      <c r="AS25" s="59">
        <f t="shared" si="26"/>
        <v>11.559375548149447</v>
      </c>
      <c r="AT25" s="88">
        <v>0.14019999999999999</v>
      </c>
      <c r="AU25" s="59">
        <v>0</v>
      </c>
      <c r="AV25" s="59">
        <v>13.18</v>
      </c>
      <c r="AW25" s="52">
        <f t="shared" si="15"/>
        <v>13.18</v>
      </c>
      <c r="AX25" s="53">
        <f t="shared" si="16"/>
        <v>0</v>
      </c>
      <c r="AY25" s="53">
        <f t="shared" si="17"/>
        <v>263.60000000000002</v>
      </c>
      <c r="AZ25" s="53">
        <f t="shared" si="18"/>
        <v>263.60000000000002</v>
      </c>
      <c r="BJ25" s="55">
        <v>0.35</v>
      </c>
      <c r="BK25" s="97">
        <f t="shared" ref="BK25" si="36">BJ25*$AZ25</f>
        <v>92.26</v>
      </c>
      <c r="BL25" s="55">
        <v>0.35</v>
      </c>
      <c r="BM25" s="97">
        <f t="shared" ref="BM25" si="37">BL25*$AZ25</f>
        <v>92.26</v>
      </c>
      <c r="BN25" s="55">
        <v>0.3</v>
      </c>
      <c r="BO25" s="97">
        <f t="shared" ref="BO25" si="38">BN25*$AZ25</f>
        <v>79.08</v>
      </c>
      <c r="BQ25" s="57">
        <f t="shared" si="12"/>
        <v>1</v>
      </c>
      <c r="BR25" s="50">
        <f>SUM(BG25,BK25,BM25,BO25)</f>
        <v>263.60000000000002</v>
      </c>
      <c r="BS25" s="39" t="str">
        <f t="shared" si="22"/>
        <v>OK</v>
      </c>
    </row>
    <row r="26" spans="1:71" x14ac:dyDescent="0.25">
      <c r="D26" s="65"/>
      <c r="AM26" s="65"/>
    </row>
    <row r="27" spans="1:71" x14ac:dyDescent="0.25">
      <c r="A27" s="4" t="s">
        <v>36</v>
      </c>
      <c r="B27" s="5"/>
      <c r="C27" s="5"/>
      <c r="D27" s="18"/>
      <c r="E27" s="5"/>
      <c r="F27" s="6"/>
      <c r="G27" s="6"/>
      <c r="H27" s="6"/>
      <c r="I27" s="7"/>
      <c r="J27" s="7"/>
      <c r="K27" s="7"/>
      <c r="L27" s="7"/>
      <c r="M27" s="7"/>
      <c r="N27" s="7">
        <f>SUM(N28:N35)</f>
        <v>10786.08</v>
      </c>
      <c r="P27" s="48" t="e">
        <f>N27/$N$170</f>
        <v>#REF!</v>
      </c>
      <c r="Q27" s="48"/>
      <c r="T27" s="49" t="e">
        <f>U27/$N$170</f>
        <v>#REF!</v>
      </c>
      <c r="U27" s="47">
        <f>SUM(U28:U35)</f>
        <v>0</v>
      </c>
      <c r="V27" s="49" t="e">
        <f>W27/$N$170</f>
        <v>#REF!</v>
      </c>
      <c r="W27" s="47">
        <f>SUM(W28:W35)</f>
        <v>0</v>
      </c>
      <c r="X27" s="49" t="e">
        <f>Y27/$N$170</f>
        <v>#REF!</v>
      </c>
      <c r="Y27" s="47">
        <f>SUM(Y28:Y35)</f>
        <v>0</v>
      </c>
      <c r="Z27" s="49" t="e">
        <f>AA27/$N$170</f>
        <v>#REF!</v>
      </c>
      <c r="AA27" s="47">
        <f>SUM(AA28:AA35)</f>
        <v>2696.52</v>
      </c>
      <c r="AB27" s="49" t="e">
        <f>AC27/$N$170</f>
        <v>#REF!</v>
      </c>
      <c r="AC27" s="47">
        <f>SUM(AC28:AC35)</f>
        <v>8089.56</v>
      </c>
      <c r="AE27" s="43"/>
      <c r="AF27" s="50">
        <f t="shared" ref="AF27:AF35" si="39">SUM(U27,Y27,AA27,AC27)</f>
        <v>10786.08</v>
      </c>
      <c r="AG27" s="39" t="str">
        <f t="shared" ref="AG27:AG35" si="40">IF(AF27=N27,"OK","VERIFICAR")</f>
        <v>OK</v>
      </c>
      <c r="AJ27" s="4" t="s">
        <v>36</v>
      </c>
      <c r="AK27" s="5"/>
      <c r="AL27" s="5"/>
      <c r="AM27" s="18"/>
      <c r="AN27" s="5"/>
      <c r="AO27" s="6"/>
      <c r="AP27" s="90"/>
      <c r="AQ27" s="90"/>
      <c r="AR27" s="90"/>
      <c r="AS27" s="90"/>
      <c r="AT27" s="7"/>
      <c r="AU27" s="90"/>
      <c r="AV27" s="90"/>
      <c r="AW27" s="90"/>
      <c r="AX27" s="47">
        <f t="shared" ref="AX27:AY27" si="41">SUM(AX28:AX35)</f>
        <v>3261.79</v>
      </c>
      <c r="AY27" s="47">
        <f t="shared" si="41"/>
        <v>6271.83</v>
      </c>
      <c r="AZ27" s="47">
        <f>SUM(AZ28:AZ35)</f>
        <v>9533.6200000000008</v>
      </c>
      <c r="BB27" s="48" t="e">
        <f>#REF!/$N$170</f>
        <v>#REF!</v>
      </c>
      <c r="BC27" s="48"/>
      <c r="BF27" s="49" t="e">
        <f>BG27/$N$170</f>
        <v>#REF!</v>
      </c>
      <c r="BG27" s="47">
        <f>SUM(BG28:BG35)</f>
        <v>0</v>
      </c>
      <c r="BH27" s="49" t="e">
        <f>BI27/$N$170</f>
        <v>#REF!</v>
      </c>
      <c r="BI27" s="47">
        <f>SUM(BI28:BI35)</f>
        <v>0</v>
      </c>
      <c r="BJ27" s="49" t="e">
        <f>BK27/$N$170</f>
        <v>#REF!</v>
      </c>
      <c r="BK27" s="47">
        <f>SUM(BK28:BK35)</f>
        <v>0</v>
      </c>
      <c r="BL27" s="49" t="e">
        <f>BM27/$N$170</f>
        <v>#REF!</v>
      </c>
      <c r="BM27" s="47">
        <f>SUM(BM28:BM35)</f>
        <v>2383.4050000000002</v>
      </c>
      <c r="BN27" s="49" t="e">
        <f>BO27/$N$170</f>
        <v>#REF!</v>
      </c>
      <c r="BO27" s="47">
        <f>SUM(BO28:BO35)</f>
        <v>7150.2150000000001</v>
      </c>
      <c r="BQ27" s="43"/>
      <c r="BR27" s="50">
        <f t="shared" ref="BR27:BR35" si="42">SUM(BG27,BK27,BM27,BO27)</f>
        <v>9533.6200000000008</v>
      </c>
      <c r="BS27" s="39" t="str">
        <f t="shared" si="22"/>
        <v>OK</v>
      </c>
    </row>
    <row r="28" spans="1:71" outlineLevel="1" x14ac:dyDescent="0.25">
      <c r="A28" s="8" t="s">
        <v>24</v>
      </c>
      <c r="B28" s="8" t="s">
        <v>37</v>
      </c>
      <c r="C28" s="8" t="s">
        <v>244</v>
      </c>
      <c r="D28" s="66" t="s">
        <v>38</v>
      </c>
      <c r="E28" s="51" t="s">
        <v>400</v>
      </c>
      <c r="F28" s="52">
        <v>7</v>
      </c>
      <c r="G28" s="53">
        <v>6.4</v>
      </c>
      <c r="H28" s="53">
        <v>0</v>
      </c>
      <c r="I28" s="53">
        <f t="shared" ref="I28:I35" si="43">G28+H28</f>
        <v>6.4</v>
      </c>
      <c r="J28" s="53">
        <f t="shared" ref="J28:J35" si="44">TRUNC(I28*F28,2)</f>
        <v>44.8</v>
      </c>
      <c r="K28" s="58">
        <v>0.27760000000000001</v>
      </c>
      <c r="L28" s="53">
        <f t="shared" ref="L28:M35" si="45">TRUNC($F28*G28*(1+$K28),2)</f>
        <v>57.23</v>
      </c>
      <c r="M28" s="53">
        <f t="shared" si="45"/>
        <v>0</v>
      </c>
      <c r="N28" s="53">
        <f t="shared" ref="N28:N35" si="46">M28+L28</f>
        <v>57.23</v>
      </c>
      <c r="Z28" s="55">
        <v>0.25</v>
      </c>
      <c r="AA28" s="56">
        <f t="shared" ref="AA28:AA35" si="47">Z28*$N28</f>
        <v>14.307499999999999</v>
      </c>
      <c r="AB28" s="55">
        <v>0.75</v>
      </c>
      <c r="AC28" s="56">
        <f t="shared" ref="AC28:AC35" si="48">AB28*$N28</f>
        <v>42.922499999999999</v>
      </c>
      <c r="AE28" s="57">
        <f t="shared" ref="AE28:AE35" si="49">SUM(T28,X28,Z28,AB28)</f>
        <v>1</v>
      </c>
      <c r="AF28" s="50">
        <f t="shared" si="39"/>
        <v>57.23</v>
      </c>
      <c r="AG28" s="39" t="str">
        <f t="shared" si="40"/>
        <v>OK</v>
      </c>
      <c r="AJ28" s="8" t="s">
        <v>24</v>
      </c>
      <c r="AK28" s="8" t="s">
        <v>37</v>
      </c>
      <c r="AL28" s="8" t="s">
        <v>244</v>
      </c>
      <c r="AM28" s="66" t="s">
        <v>38</v>
      </c>
      <c r="AN28" s="51" t="s">
        <v>400</v>
      </c>
      <c r="AO28" s="84">
        <v>7</v>
      </c>
      <c r="AP28" s="52"/>
      <c r="AQ28" s="59">
        <f t="shared" ref="AQ28:AQ45" si="50">AU28/(1+$AT28)</f>
        <v>0</v>
      </c>
      <c r="AR28" s="59">
        <f t="shared" ref="AR28:AR45" si="51">AV28/(1+$AT28)</f>
        <v>6.3059112436414662</v>
      </c>
      <c r="AS28" s="59">
        <f t="shared" ref="AS28:AS45" si="52">AW28/(1+$AT28)</f>
        <v>6.3059112436414662</v>
      </c>
      <c r="AT28" s="88">
        <v>0.14019999999999999</v>
      </c>
      <c r="AU28" s="52">
        <v>0</v>
      </c>
      <c r="AV28" s="52">
        <v>7.19</v>
      </c>
      <c r="AW28" s="52">
        <f t="shared" ref="AW28:AW35" si="53">AU28+AV28</f>
        <v>7.19</v>
      </c>
      <c r="AX28" s="53">
        <f t="shared" ref="AX28:AX35" si="54">$AO28*AU28</f>
        <v>0</v>
      </c>
      <c r="AY28" s="53">
        <f t="shared" ref="AY28:AY35" si="55">$AO28*AV28</f>
        <v>50.330000000000005</v>
      </c>
      <c r="AZ28" s="53">
        <f t="shared" ref="AZ28:AZ35" si="56">$AO28*AW28</f>
        <v>50.330000000000005</v>
      </c>
      <c r="BL28" s="55">
        <v>0.25</v>
      </c>
      <c r="BM28" s="97">
        <f t="shared" ref="BM28:BM35" si="57">BL28*$AZ28</f>
        <v>12.582500000000001</v>
      </c>
      <c r="BN28" s="55">
        <v>0.75</v>
      </c>
      <c r="BO28" s="97">
        <f t="shared" ref="BO28" si="58">BN28*$AZ28</f>
        <v>37.747500000000002</v>
      </c>
      <c r="BQ28" s="57">
        <f t="shared" ref="BQ28:BQ35" si="59">SUM(BF28,BJ28,BL28,BN28)</f>
        <v>1</v>
      </c>
      <c r="BR28" s="50">
        <f t="shared" si="42"/>
        <v>50.330000000000005</v>
      </c>
      <c r="BS28" s="39" t="str">
        <f t="shared" si="22"/>
        <v>OK</v>
      </c>
    </row>
    <row r="29" spans="1:71" outlineLevel="1" x14ac:dyDescent="0.25">
      <c r="A29" s="8" t="s">
        <v>24</v>
      </c>
      <c r="B29" s="8" t="s">
        <v>39</v>
      </c>
      <c r="C29" s="8" t="s">
        <v>245</v>
      </c>
      <c r="D29" s="66" t="s">
        <v>40</v>
      </c>
      <c r="E29" s="51" t="s">
        <v>17</v>
      </c>
      <c r="F29" s="52">
        <v>7</v>
      </c>
      <c r="G29" s="53">
        <v>0.87</v>
      </c>
      <c r="H29" s="53">
        <v>0</v>
      </c>
      <c r="I29" s="53">
        <f t="shared" si="43"/>
        <v>0.87</v>
      </c>
      <c r="J29" s="53">
        <f t="shared" si="44"/>
        <v>6.09</v>
      </c>
      <c r="K29" s="58">
        <v>0.27760000000000001</v>
      </c>
      <c r="L29" s="53">
        <f t="shared" si="45"/>
        <v>7.78</v>
      </c>
      <c r="M29" s="53">
        <f t="shared" si="45"/>
        <v>0</v>
      </c>
      <c r="N29" s="53">
        <f t="shared" si="46"/>
        <v>7.78</v>
      </c>
      <c r="Z29" s="55">
        <v>0.25</v>
      </c>
      <c r="AA29" s="56">
        <f t="shared" si="47"/>
        <v>1.9450000000000001</v>
      </c>
      <c r="AB29" s="55">
        <v>0.75</v>
      </c>
      <c r="AC29" s="56">
        <f t="shared" si="48"/>
        <v>5.835</v>
      </c>
      <c r="AE29" s="57">
        <f t="shared" si="49"/>
        <v>1</v>
      </c>
      <c r="AF29" s="50">
        <f t="shared" si="39"/>
        <v>7.78</v>
      </c>
      <c r="AG29" s="39" t="str">
        <f t="shared" si="40"/>
        <v>OK</v>
      </c>
      <c r="AJ29" s="8" t="s">
        <v>24</v>
      </c>
      <c r="AK29" s="8" t="s">
        <v>39</v>
      </c>
      <c r="AL29" s="8" t="s">
        <v>245</v>
      </c>
      <c r="AM29" s="66" t="s">
        <v>40</v>
      </c>
      <c r="AN29" s="51" t="s">
        <v>17</v>
      </c>
      <c r="AO29" s="84">
        <v>7</v>
      </c>
      <c r="AP29" s="52"/>
      <c r="AQ29" s="59">
        <f t="shared" si="50"/>
        <v>0</v>
      </c>
      <c r="AR29" s="59">
        <f t="shared" si="51"/>
        <v>0.85949833362567962</v>
      </c>
      <c r="AS29" s="59">
        <f t="shared" si="52"/>
        <v>0.85949833362567962</v>
      </c>
      <c r="AT29" s="88">
        <v>0.14019999999999999</v>
      </c>
      <c r="AU29" s="52">
        <v>0</v>
      </c>
      <c r="AV29" s="52">
        <v>0.98</v>
      </c>
      <c r="AW29" s="52">
        <f t="shared" si="53"/>
        <v>0.98</v>
      </c>
      <c r="AX29" s="53">
        <f t="shared" si="54"/>
        <v>0</v>
      </c>
      <c r="AY29" s="53">
        <f t="shared" si="55"/>
        <v>6.8599999999999994</v>
      </c>
      <c r="AZ29" s="53">
        <f t="shared" si="56"/>
        <v>6.8599999999999994</v>
      </c>
      <c r="BL29" s="55">
        <v>0.25</v>
      </c>
      <c r="BM29" s="97">
        <f t="shared" si="57"/>
        <v>1.7149999999999999</v>
      </c>
      <c r="BN29" s="55">
        <v>0.75</v>
      </c>
      <c r="BO29" s="97">
        <f t="shared" ref="BO29" si="60">BN29*$AZ29</f>
        <v>5.1449999999999996</v>
      </c>
      <c r="BQ29" s="57">
        <f t="shared" si="59"/>
        <v>1</v>
      </c>
      <c r="BR29" s="50">
        <f t="shared" si="42"/>
        <v>6.8599999999999994</v>
      </c>
      <c r="BS29" s="39" t="str">
        <f t="shared" si="22"/>
        <v>OK</v>
      </c>
    </row>
    <row r="30" spans="1:71" ht="30" outlineLevel="1" x14ac:dyDescent="0.25">
      <c r="A30" s="8" t="s">
        <v>24</v>
      </c>
      <c r="B30" s="8" t="s">
        <v>41</v>
      </c>
      <c r="C30" s="8" t="s">
        <v>246</v>
      </c>
      <c r="D30" s="67" t="s">
        <v>42</v>
      </c>
      <c r="E30" s="51" t="s">
        <v>17</v>
      </c>
      <c r="F30" s="52">
        <v>550</v>
      </c>
      <c r="G30" s="53">
        <v>6.91</v>
      </c>
      <c r="H30" s="53">
        <v>1.62</v>
      </c>
      <c r="I30" s="53">
        <f t="shared" si="43"/>
        <v>8.5300000000000011</v>
      </c>
      <c r="J30" s="53">
        <f t="shared" si="44"/>
        <v>4691.5</v>
      </c>
      <c r="K30" s="58">
        <v>0.27760000000000001</v>
      </c>
      <c r="L30" s="53">
        <f t="shared" si="45"/>
        <v>4855.51</v>
      </c>
      <c r="M30" s="53">
        <f t="shared" si="45"/>
        <v>1138.3399999999999</v>
      </c>
      <c r="N30" s="53">
        <f t="shared" si="46"/>
        <v>5993.85</v>
      </c>
      <c r="Z30" s="55">
        <v>0.25</v>
      </c>
      <c r="AA30" s="56">
        <f t="shared" si="47"/>
        <v>1498.4625000000001</v>
      </c>
      <c r="AB30" s="55">
        <v>0.75</v>
      </c>
      <c r="AC30" s="56">
        <f t="shared" si="48"/>
        <v>4495.3875000000007</v>
      </c>
      <c r="AE30" s="57">
        <f t="shared" si="49"/>
        <v>1</v>
      </c>
      <c r="AF30" s="50">
        <f t="shared" si="39"/>
        <v>5993.85</v>
      </c>
      <c r="AG30" s="39" t="str">
        <f t="shared" si="40"/>
        <v>OK</v>
      </c>
      <c r="AJ30" s="8" t="s">
        <v>24</v>
      </c>
      <c r="AK30" s="8" t="s">
        <v>41</v>
      </c>
      <c r="AL30" s="8" t="s">
        <v>246</v>
      </c>
      <c r="AM30" s="67" t="s">
        <v>42</v>
      </c>
      <c r="AN30" s="51" t="s">
        <v>17</v>
      </c>
      <c r="AO30" s="84">
        <v>550</v>
      </c>
      <c r="AP30" s="52"/>
      <c r="AQ30" s="59">
        <f t="shared" si="50"/>
        <v>1.9645676197158393</v>
      </c>
      <c r="AR30" s="59">
        <f t="shared" si="51"/>
        <v>6.3936151552359233</v>
      </c>
      <c r="AS30" s="59">
        <f t="shared" si="52"/>
        <v>8.3581827749517625</v>
      </c>
      <c r="AT30" s="88">
        <v>0.14019999999999999</v>
      </c>
      <c r="AU30" s="52">
        <v>2.2400000000000002</v>
      </c>
      <c r="AV30" s="52">
        <v>7.29</v>
      </c>
      <c r="AW30" s="52">
        <f t="shared" si="53"/>
        <v>9.5300000000000011</v>
      </c>
      <c r="AX30" s="53">
        <f t="shared" si="54"/>
        <v>1232.0000000000002</v>
      </c>
      <c r="AY30" s="53">
        <f t="shared" si="55"/>
        <v>4009.5</v>
      </c>
      <c r="AZ30" s="53">
        <f t="shared" si="56"/>
        <v>5241.5000000000009</v>
      </c>
      <c r="BL30" s="55">
        <v>0.25</v>
      </c>
      <c r="BM30" s="97">
        <f t="shared" si="57"/>
        <v>1310.3750000000002</v>
      </c>
      <c r="BN30" s="55">
        <v>0.75</v>
      </c>
      <c r="BO30" s="97">
        <f t="shared" ref="BO30" si="61">BN30*$AZ30</f>
        <v>3931.1250000000009</v>
      </c>
      <c r="BQ30" s="57">
        <f t="shared" si="59"/>
        <v>1</v>
      </c>
      <c r="BR30" s="50">
        <f t="shared" si="42"/>
        <v>5241.5000000000009</v>
      </c>
      <c r="BS30" s="39" t="str">
        <f t="shared" si="22"/>
        <v>OK</v>
      </c>
    </row>
    <row r="31" spans="1:71" ht="30" outlineLevel="1" x14ac:dyDescent="0.25">
      <c r="A31" s="8" t="s">
        <v>24</v>
      </c>
      <c r="B31" s="8" t="s">
        <v>43</v>
      </c>
      <c r="C31" s="8" t="s">
        <v>248</v>
      </c>
      <c r="D31" s="67" t="s">
        <v>44</v>
      </c>
      <c r="E31" s="51" t="s">
        <v>9</v>
      </c>
      <c r="F31" s="52">
        <v>5</v>
      </c>
      <c r="G31" s="53">
        <f>0.25+94.62+0.23</f>
        <v>95.100000000000009</v>
      </c>
      <c r="H31" s="53">
        <v>84.63</v>
      </c>
      <c r="I31" s="53">
        <f t="shared" si="43"/>
        <v>179.73000000000002</v>
      </c>
      <c r="J31" s="53">
        <f t="shared" si="44"/>
        <v>898.65</v>
      </c>
      <c r="K31" s="58">
        <v>0.27760000000000001</v>
      </c>
      <c r="L31" s="53">
        <f t="shared" si="45"/>
        <v>607.49</v>
      </c>
      <c r="M31" s="53">
        <f t="shared" si="45"/>
        <v>540.61</v>
      </c>
      <c r="N31" s="53">
        <f t="shared" si="46"/>
        <v>1148.0999999999999</v>
      </c>
      <c r="Z31" s="55">
        <v>0.25</v>
      </c>
      <c r="AA31" s="56">
        <f t="shared" si="47"/>
        <v>287.02499999999998</v>
      </c>
      <c r="AB31" s="55">
        <v>0.75</v>
      </c>
      <c r="AC31" s="56">
        <f t="shared" si="48"/>
        <v>861.07499999999993</v>
      </c>
      <c r="AE31" s="57">
        <f t="shared" si="49"/>
        <v>1</v>
      </c>
      <c r="AF31" s="50">
        <f t="shared" si="39"/>
        <v>1148.0999999999999</v>
      </c>
      <c r="AG31" s="39" t="str">
        <f t="shared" si="40"/>
        <v>OK</v>
      </c>
      <c r="AJ31" s="8" t="s">
        <v>24</v>
      </c>
      <c r="AK31" s="8" t="s">
        <v>43</v>
      </c>
      <c r="AL31" s="8" t="s">
        <v>248</v>
      </c>
      <c r="AM31" s="67" t="s">
        <v>44</v>
      </c>
      <c r="AN31" s="51" t="s">
        <v>9</v>
      </c>
      <c r="AO31" s="84">
        <v>5</v>
      </c>
      <c r="AP31" s="52"/>
      <c r="AQ31" s="59">
        <f t="shared" si="50"/>
        <v>91.115593755481484</v>
      </c>
      <c r="AR31" s="59">
        <f t="shared" si="51"/>
        <v>87.598666900543748</v>
      </c>
      <c r="AS31" s="59">
        <f t="shared" si="52"/>
        <v>178.71426065602523</v>
      </c>
      <c r="AT31" s="88">
        <v>0.14019999999999999</v>
      </c>
      <c r="AU31" s="52">
        <v>103.89</v>
      </c>
      <c r="AV31" s="52">
        <v>99.88</v>
      </c>
      <c r="AW31" s="52">
        <f t="shared" si="53"/>
        <v>203.76999999999998</v>
      </c>
      <c r="AX31" s="53">
        <f t="shared" si="54"/>
        <v>519.45000000000005</v>
      </c>
      <c r="AY31" s="53">
        <f t="shared" si="55"/>
        <v>499.4</v>
      </c>
      <c r="AZ31" s="53">
        <f t="shared" si="56"/>
        <v>1018.8499999999999</v>
      </c>
      <c r="BL31" s="55">
        <v>0.25</v>
      </c>
      <c r="BM31" s="97">
        <f t="shared" si="57"/>
        <v>254.71249999999998</v>
      </c>
      <c r="BN31" s="55">
        <v>0.75</v>
      </c>
      <c r="BO31" s="97">
        <f t="shared" ref="BO31" si="62">BN31*$AZ31</f>
        <v>764.13749999999993</v>
      </c>
      <c r="BQ31" s="57">
        <f t="shared" si="59"/>
        <v>1</v>
      </c>
      <c r="BR31" s="50">
        <f t="shared" si="42"/>
        <v>1018.8499999999999</v>
      </c>
      <c r="BS31" s="39" t="str">
        <f t="shared" si="22"/>
        <v>OK</v>
      </c>
    </row>
    <row r="32" spans="1:71" ht="30" outlineLevel="1" x14ac:dyDescent="0.25">
      <c r="A32" s="8" t="s">
        <v>24</v>
      </c>
      <c r="B32" s="8" t="s">
        <v>45</v>
      </c>
      <c r="C32" s="8" t="s">
        <v>249</v>
      </c>
      <c r="D32" s="67" t="s">
        <v>46</v>
      </c>
      <c r="E32" s="51" t="s">
        <v>17</v>
      </c>
      <c r="F32" s="52">
        <v>66</v>
      </c>
      <c r="G32" s="53">
        <v>3.37</v>
      </c>
      <c r="H32" s="53">
        <v>2.44</v>
      </c>
      <c r="I32" s="53">
        <f t="shared" si="43"/>
        <v>5.8100000000000005</v>
      </c>
      <c r="J32" s="53">
        <f t="shared" si="44"/>
        <v>383.46</v>
      </c>
      <c r="K32" s="58">
        <v>0.27760000000000001</v>
      </c>
      <c r="L32" s="53">
        <f t="shared" si="45"/>
        <v>284.16000000000003</v>
      </c>
      <c r="M32" s="53">
        <f t="shared" si="45"/>
        <v>205.74</v>
      </c>
      <c r="N32" s="53">
        <f t="shared" si="46"/>
        <v>489.90000000000003</v>
      </c>
      <c r="Z32" s="55">
        <v>0.25</v>
      </c>
      <c r="AA32" s="56">
        <f t="shared" si="47"/>
        <v>122.47500000000001</v>
      </c>
      <c r="AB32" s="55">
        <v>0.75</v>
      </c>
      <c r="AC32" s="56">
        <f t="shared" si="48"/>
        <v>367.42500000000001</v>
      </c>
      <c r="AE32" s="57">
        <f t="shared" si="49"/>
        <v>1</v>
      </c>
      <c r="AF32" s="50">
        <f t="shared" si="39"/>
        <v>489.90000000000003</v>
      </c>
      <c r="AG32" s="39" t="str">
        <f t="shared" si="40"/>
        <v>OK</v>
      </c>
      <c r="AJ32" s="8" t="s">
        <v>24</v>
      </c>
      <c r="AK32" s="8" t="s">
        <v>45</v>
      </c>
      <c r="AL32" s="8" t="s">
        <v>249</v>
      </c>
      <c r="AM32" s="67" t="s">
        <v>46</v>
      </c>
      <c r="AN32" s="51" t="s">
        <v>17</v>
      </c>
      <c r="AO32" s="84">
        <v>66</v>
      </c>
      <c r="AP32" s="52"/>
      <c r="AQ32" s="59">
        <f t="shared" si="50"/>
        <v>2.6223469566742676</v>
      </c>
      <c r="AR32" s="59">
        <f t="shared" si="51"/>
        <v>3.1485704262410099</v>
      </c>
      <c r="AS32" s="59">
        <f t="shared" si="52"/>
        <v>5.770917382915278</v>
      </c>
      <c r="AT32" s="88">
        <v>0.14019999999999999</v>
      </c>
      <c r="AU32" s="52">
        <v>2.99</v>
      </c>
      <c r="AV32" s="52">
        <v>3.59</v>
      </c>
      <c r="AW32" s="52">
        <f t="shared" si="53"/>
        <v>6.58</v>
      </c>
      <c r="AX32" s="53">
        <f t="shared" si="54"/>
        <v>197.34</v>
      </c>
      <c r="AY32" s="53">
        <f t="shared" si="55"/>
        <v>236.94</v>
      </c>
      <c r="AZ32" s="53">
        <f t="shared" si="56"/>
        <v>434.28000000000003</v>
      </c>
      <c r="BL32" s="55">
        <v>0.25</v>
      </c>
      <c r="BM32" s="97">
        <f t="shared" si="57"/>
        <v>108.57000000000001</v>
      </c>
      <c r="BN32" s="55">
        <v>0.75</v>
      </c>
      <c r="BO32" s="97">
        <f t="shared" ref="BO32" si="63">BN32*$AZ32</f>
        <v>325.71000000000004</v>
      </c>
      <c r="BQ32" s="57">
        <f t="shared" si="59"/>
        <v>1</v>
      </c>
      <c r="BR32" s="50">
        <f t="shared" si="42"/>
        <v>434.28000000000003</v>
      </c>
      <c r="BS32" s="39" t="str">
        <f t="shared" si="22"/>
        <v>OK</v>
      </c>
    </row>
    <row r="33" spans="1:71" ht="30" outlineLevel="1" x14ac:dyDescent="0.25">
      <c r="A33" s="8" t="s">
        <v>24</v>
      </c>
      <c r="B33" s="8" t="s">
        <v>47</v>
      </c>
      <c r="C33" s="68" t="s">
        <v>250</v>
      </c>
      <c r="D33" s="67" t="s">
        <v>48</v>
      </c>
      <c r="E33" s="51" t="s">
        <v>17</v>
      </c>
      <c r="F33" s="52">
        <v>100</v>
      </c>
      <c r="G33" s="53">
        <v>9.91</v>
      </c>
      <c r="H33" s="53">
        <v>10.64</v>
      </c>
      <c r="I33" s="53">
        <f t="shared" si="43"/>
        <v>20.55</v>
      </c>
      <c r="J33" s="53">
        <f t="shared" si="44"/>
        <v>2055</v>
      </c>
      <c r="K33" s="58">
        <v>0.27760000000000001</v>
      </c>
      <c r="L33" s="53">
        <f t="shared" si="45"/>
        <v>1266.0999999999999</v>
      </c>
      <c r="M33" s="53">
        <f t="shared" si="45"/>
        <v>1359.36</v>
      </c>
      <c r="N33" s="53">
        <f t="shared" si="46"/>
        <v>2625.46</v>
      </c>
      <c r="Z33" s="55">
        <v>0.25</v>
      </c>
      <c r="AA33" s="56">
        <f t="shared" si="47"/>
        <v>656.36500000000001</v>
      </c>
      <c r="AB33" s="55">
        <v>0.75</v>
      </c>
      <c r="AC33" s="56">
        <f t="shared" si="48"/>
        <v>1969.095</v>
      </c>
      <c r="AE33" s="57">
        <f t="shared" si="49"/>
        <v>1</v>
      </c>
      <c r="AF33" s="50">
        <f t="shared" si="39"/>
        <v>2625.46</v>
      </c>
      <c r="AG33" s="39" t="str">
        <f t="shared" si="40"/>
        <v>OK</v>
      </c>
      <c r="AJ33" s="8" t="s">
        <v>24</v>
      </c>
      <c r="AK33" s="8" t="s">
        <v>47</v>
      </c>
      <c r="AL33" s="68" t="s">
        <v>250</v>
      </c>
      <c r="AM33" s="67" t="s">
        <v>48</v>
      </c>
      <c r="AN33" s="51" t="s">
        <v>17</v>
      </c>
      <c r="AO33" s="84">
        <v>100</v>
      </c>
      <c r="AP33" s="52"/>
      <c r="AQ33" s="59">
        <f t="shared" si="50"/>
        <v>11.515523592352219</v>
      </c>
      <c r="AR33" s="59">
        <f t="shared" si="51"/>
        <v>8.9457989826346243</v>
      </c>
      <c r="AS33" s="59">
        <f t="shared" si="52"/>
        <v>20.461322574986841</v>
      </c>
      <c r="AT33" s="88">
        <v>0.14019999999999999</v>
      </c>
      <c r="AU33" s="52">
        <v>13.13</v>
      </c>
      <c r="AV33" s="52">
        <v>10.199999999999999</v>
      </c>
      <c r="AW33" s="52">
        <f t="shared" si="53"/>
        <v>23.33</v>
      </c>
      <c r="AX33" s="53">
        <f t="shared" si="54"/>
        <v>1313</v>
      </c>
      <c r="AY33" s="53">
        <f t="shared" si="55"/>
        <v>1019.9999999999999</v>
      </c>
      <c r="AZ33" s="53">
        <f t="shared" si="56"/>
        <v>2333</v>
      </c>
      <c r="BL33" s="55">
        <v>0.25</v>
      </c>
      <c r="BM33" s="97">
        <f t="shared" si="57"/>
        <v>583.25</v>
      </c>
      <c r="BN33" s="55">
        <v>0.75</v>
      </c>
      <c r="BO33" s="97">
        <f t="shared" ref="BO33" si="64">BN33*$AZ33</f>
        <v>1749.75</v>
      </c>
      <c r="BQ33" s="57">
        <f t="shared" si="59"/>
        <v>1</v>
      </c>
      <c r="BR33" s="50">
        <f t="shared" si="42"/>
        <v>2333</v>
      </c>
      <c r="BS33" s="39" t="str">
        <f t="shared" si="22"/>
        <v>OK</v>
      </c>
    </row>
    <row r="34" spans="1:71" ht="30" outlineLevel="1" x14ac:dyDescent="0.25">
      <c r="A34" s="8" t="s">
        <v>24</v>
      </c>
      <c r="B34" s="8" t="s">
        <v>49</v>
      </c>
      <c r="C34" s="8" t="s">
        <v>251</v>
      </c>
      <c r="D34" s="67" t="s">
        <v>50</v>
      </c>
      <c r="E34" s="51" t="s">
        <v>9</v>
      </c>
      <c r="F34" s="52">
        <v>330</v>
      </c>
      <c r="G34" s="53">
        <v>0.56000000000000005</v>
      </c>
      <c r="H34" s="53">
        <v>0</v>
      </c>
      <c r="I34" s="53">
        <f t="shared" si="43"/>
        <v>0.56000000000000005</v>
      </c>
      <c r="J34" s="53">
        <f t="shared" si="44"/>
        <v>184.8</v>
      </c>
      <c r="K34" s="58">
        <v>0.27760000000000001</v>
      </c>
      <c r="L34" s="53">
        <f t="shared" si="45"/>
        <v>236.1</v>
      </c>
      <c r="M34" s="53">
        <f t="shared" si="45"/>
        <v>0</v>
      </c>
      <c r="N34" s="53">
        <f t="shared" si="46"/>
        <v>236.1</v>
      </c>
      <c r="Z34" s="55">
        <v>0.25</v>
      </c>
      <c r="AA34" s="56">
        <f t="shared" si="47"/>
        <v>59.024999999999999</v>
      </c>
      <c r="AB34" s="55">
        <v>0.75</v>
      </c>
      <c r="AC34" s="56">
        <f t="shared" si="48"/>
        <v>177.07499999999999</v>
      </c>
      <c r="AE34" s="57">
        <f t="shared" si="49"/>
        <v>1</v>
      </c>
      <c r="AF34" s="50">
        <f t="shared" si="39"/>
        <v>236.1</v>
      </c>
      <c r="AG34" s="39" t="str">
        <f t="shared" si="40"/>
        <v>OK</v>
      </c>
      <c r="AJ34" s="8" t="s">
        <v>24</v>
      </c>
      <c r="AK34" s="8" t="s">
        <v>49</v>
      </c>
      <c r="AL34" s="8" t="s">
        <v>251</v>
      </c>
      <c r="AM34" s="67" t="s">
        <v>50</v>
      </c>
      <c r="AN34" s="51" t="s">
        <v>9</v>
      </c>
      <c r="AO34" s="84">
        <v>330</v>
      </c>
      <c r="AP34" s="52"/>
      <c r="AQ34" s="59">
        <f t="shared" si="50"/>
        <v>0</v>
      </c>
      <c r="AR34" s="59">
        <f t="shared" si="51"/>
        <v>0.60515699000175394</v>
      </c>
      <c r="AS34" s="59">
        <f t="shared" si="52"/>
        <v>0.60515699000175394</v>
      </c>
      <c r="AT34" s="88">
        <v>0.14019999999999999</v>
      </c>
      <c r="AU34" s="52">
        <v>0</v>
      </c>
      <c r="AV34" s="52">
        <v>0.69</v>
      </c>
      <c r="AW34" s="52">
        <f t="shared" si="53"/>
        <v>0.69</v>
      </c>
      <c r="AX34" s="53">
        <f t="shared" si="54"/>
        <v>0</v>
      </c>
      <c r="AY34" s="53">
        <f t="shared" si="55"/>
        <v>227.7</v>
      </c>
      <c r="AZ34" s="53">
        <f t="shared" si="56"/>
        <v>227.7</v>
      </c>
      <c r="BL34" s="55">
        <v>0.25</v>
      </c>
      <c r="BM34" s="97">
        <f t="shared" si="57"/>
        <v>56.924999999999997</v>
      </c>
      <c r="BN34" s="55">
        <v>0.75</v>
      </c>
      <c r="BO34" s="97">
        <f t="shared" ref="BO34" si="65">BN34*$AZ34</f>
        <v>170.77499999999998</v>
      </c>
      <c r="BQ34" s="57">
        <f t="shared" si="59"/>
        <v>1</v>
      </c>
      <c r="BR34" s="50">
        <f t="shared" si="42"/>
        <v>227.7</v>
      </c>
      <c r="BS34" s="39" t="str">
        <f t="shared" si="22"/>
        <v>OK</v>
      </c>
    </row>
    <row r="35" spans="1:71" ht="30" outlineLevel="1" x14ac:dyDescent="0.25">
      <c r="A35" s="8" t="s">
        <v>24</v>
      </c>
      <c r="B35" s="8" t="s">
        <v>51</v>
      </c>
      <c r="C35" s="8" t="s">
        <v>252</v>
      </c>
      <c r="D35" s="67" t="s">
        <v>52</v>
      </c>
      <c r="E35" s="51" t="s">
        <v>9</v>
      </c>
      <c r="F35" s="52">
        <v>330</v>
      </c>
      <c r="G35" s="53">
        <v>0.54</v>
      </c>
      <c r="H35" s="53">
        <v>0</v>
      </c>
      <c r="I35" s="53">
        <f t="shared" si="43"/>
        <v>0.54</v>
      </c>
      <c r="J35" s="53">
        <f t="shared" si="44"/>
        <v>178.2</v>
      </c>
      <c r="K35" s="58">
        <v>0.27760000000000001</v>
      </c>
      <c r="L35" s="53">
        <f t="shared" si="45"/>
        <v>227.66</v>
      </c>
      <c r="M35" s="53">
        <f t="shared" si="45"/>
        <v>0</v>
      </c>
      <c r="N35" s="53">
        <f t="shared" si="46"/>
        <v>227.66</v>
      </c>
      <c r="Z35" s="55">
        <v>0.25</v>
      </c>
      <c r="AA35" s="56">
        <f t="shared" si="47"/>
        <v>56.914999999999999</v>
      </c>
      <c r="AB35" s="55">
        <v>0.75</v>
      </c>
      <c r="AC35" s="56">
        <f t="shared" si="48"/>
        <v>170.745</v>
      </c>
      <c r="AE35" s="57">
        <f t="shared" si="49"/>
        <v>1</v>
      </c>
      <c r="AF35" s="50">
        <f t="shared" si="39"/>
        <v>227.66</v>
      </c>
      <c r="AG35" s="39" t="str">
        <f t="shared" si="40"/>
        <v>OK</v>
      </c>
      <c r="AJ35" s="8" t="s">
        <v>24</v>
      </c>
      <c r="AK35" s="8" t="s">
        <v>51</v>
      </c>
      <c r="AL35" s="8" t="s">
        <v>252</v>
      </c>
      <c r="AM35" s="67" t="s">
        <v>52</v>
      </c>
      <c r="AN35" s="51" t="s">
        <v>9</v>
      </c>
      <c r="AO35" s="84">
        <v>330</v>
      </c>
      <c r="AP35" s="52"/>
      <c r="AQ35" s="59">
        <f t="shared" si="50"/>
        <v>0</v>
      </c>
      <c r="AR35" s="59">
        <f t="shared" si="51"/>
        <v>0.5876162076828626</v>
      </c>
      <c r="AS35" s="59">
        <f t="shared" si="52"/>
        <v>0.5876162076828626</v>
      </c>
      <c r="AT35" s="88">
        <v>0.14019999999999999</v>
      </c>
      <c r="AU35" s="52">
        <v>0</v>
      </c>
      <c r="AV35" s="52">
        <v>0.67</v>
      </c>
      <c r="AW35" s="52">
        <f t="shared" si="53"/>
        <v>0.67</v>
      </c>
      <c r="AX35" s="53">
        <f t="shared" si="54"/>
        <v>0</v>
      </c>
      <c r="AY35" s="53">
        <f t="shared" si="55"/>
        <v>221.10000000000002</v>
      </c>
      <c r="AZ35" s="53">
        <f t="shared" si="56"/>
        <v>221.10000000000002</v>
      </c>
      <c r="BL35" s="55">
        <v>0.25</v>
      </c>
      <c r="BM35" s="97">
        <f t="shared" si="57"/>
        <v>55.275000000000006</v>
      </c>
      <c r="BN35" s="55">
        <v>0.75</v>
      </c>
      <c r="BO35" s="97">
        <f t="shared" ref="BO35" si="66">BN35*$AZ35</f>
        <v>165.82500000000002</v>
      </c>
      <c r="BQ35" s="57">
        <f t="shared" si="59"/>
        <v>1</v>
      </c>
      <c r="BR35" s="50">
        <f t="shared" si="42"/>
        <v>221.10000000000002</v>
      </c>
      <c r="BS35" s="39" t="str">
        <f t="shared" si="22"/>
        <v>OK</v>
      </c>
    </row>
    <row r="36" spans="1:71" x14ac:dyDescent="0.25">
      <c r="D36" s="65"/>
      <c r="AM36" s="65"/>
      <c r="AQ36" s="59">
        <f t="shared" si="50"/>
        <v>0</v>
      </c>
      <c r="AR36" s="59">
        <f t="shared" si="51"/>
        <v>0</v>
      </c>
      <c r="AS36" s="59">
        <f t="shared" si="52"/>
        <v>0</v>
      </c>
    </row>
    <row r="37" spans="1:71" x14ac:dyDescent="0.25">
      <c r="A37" s="4" t="s">
        <v>53</v>
      </c>
      <c r="B37" s="5"/>
      <c r="C37" s="5"/>
      <c r="D37" s="18"/>
      <c r="E37" s="5"/>
      <c r="F37" s="6"/>
      <c r="G37" s="6"/>
      <c r="H37" s="6"/>
      <c r="I37" s="7"/>
      <c r="J37" s="7"/>
      <c r="K37" s="7"/>
      <c r="L37" s="7"/>
      <c r="M37" s="7"/>
      <c r="N37" s="7" t="e">
        <f>SUM(N38:N45)</f>
        <v>#REF!</v>
      </c>
      <c r="P37" s="48" t="e">
        <f>N37/$N$170</f>
        <v>#REF!</v>
      </c>
      <c r="Q37" s="48"/>
      <c r="T37" s="49" t="e">
        <f>U37/$N$170</f>
        <v>#REF!</v>
      </c>
      <c r="U37" s="47">
        <f>SUM(U38:U45)</f>
        <v>0</v>
      </c>
      <c r="V37" s="49" t="e">
        <f>W37/$N$170</f>
        <v>#REF!</v>
      </c>
      <c r="W37" s="47">
        <f>SUM(W38:W45)</f>
        <v>0</v>
      </c>
      <c r="X37" s="49" t="e">
        <f>Y37/$N$170</f>
        <v>#REF!</v>
      </c>
      <c r="Y37" s="47">
        <f>SUM(Y38:Y45)</f>
        <v>0</v>
      </c>
      <c r="Z37" s="49" t="e">
        <f>AA37/$N$170</f>
        <v>#REF!</v>
      </c>
      <c r="AA37" s="47" t="e">
        <f>SUM(AA38:AA45)</f>
        <v>#REF!</v>
      </c>
      <c r="AB37" s="49" t="e">
        <f>AC37/$N$170</f>
        <v>#REF!</v>
      </c>
      <c r="AC37" s="47" t="e">
        <f>SUM(AC38:AC45)</f>
        <v>#REF!</v>
      </c>
      <c r="AE37" s="43"/>
      <c r="AF37" s="50" t="e">
        <f t="shared" ref="AF37:AF45" si="67">SUM(U37,Y37,AA37,AC37)</f>
        <v>#REF!</v>
      </c>
      <c r="AG37" s="39" t="e">
        <f t="shared" ref="AG37:AG45" si="68">IF(AF37=N37,"OK","VERIFICAR")</f>
        <v>#REF!</v>
      </c>
      <c r="AJ37" s="4" t="s">
        <v>53</v>
      </c>
      <c r="AK37" s="5"/>
      <c r="AL37" s="5"/>
      <c r="AM37" s="18"/>
      <c r="AN37" s="5"/>
      <c r="AO37" s="6"/>
      <c r="AP37" s="90"/>
      <c r="AQ37" s="59">
        <f t="shared" si="50"/>
        <v>0</v>
      </c>
      <c r="AR37" s="59">
        <f t="shared" si="51"/>
        <v>0</v>
      </c>
      <c r="AS37" s="59">
        <f t="shared" si="52"/>
        <v>0</v>
      </c>
      <c r="AT37" s="7"/>
      <c r="AU37" s="90"/>
      <c r="AV37" s="90"/>
      <c r="AW37" s="90"/>
      <c r="AX37" s="47">
        <f t="shared" ref="AX37:AY37" si="69">SUM(AX38:AX45)</f>
        <v>254.68</v>
      </c>
      <c r="AY37" s="47">
        <f t="shared" si="69"/>
        <v>5969.56</v>
      </c>
      <c r="AZ37" s="47">
        <f>SUM(AZ38:AZ45)</f>
        <v>6224.24</v>
      </c>
      <c r="BB37" s="48" t="e">
        <f>#REF!/$N$170</f>
        <v>#REF!</v>
      </c>
      <c r="BC37" s="48"/>
      <c r="BF37" s="49" t="e">
        <f>BG37/$N$170</f>
        <v>#REF!</v>
      </c>
      <c r="BG37" s="47">
        <f>SUM(BG38:BG45)</f>
        <v>0</v>
      </c>
      <c r="BH37" s="49" t="e">
        <f>BI37/$N$170</f>
        <v>#REF!</v>
      </c>
      <c r="BI37" s="47">
        <f>SUM(BI38:BI45)</f>
        <v>0</v>
      </c>
      <c r="BJ37" s="49" t="e">
        <f>BK37/$N$170</f>
        <v>#REF!</v>
      </c>
      <c r="BK37" s="47">
        <f>SUM(BK38:BK45)</f>
        <v>0</v>
      </c>
      <c r="BL37" s="49" t="e">
        <f>BM37/$N$170</f>
        <v>#REF!</v>
      </c>
      <c r="BM37" s="47">
        <f>SUM(BM38:BM45)</f>
        <v>1556.06</v>
      </c>
      <c r="BN37" s="49" t="e">
        <f>BO37/$N$170</f>
        <v>#REF!</v>
      </c>
      <c r="BO37" s="47">
        <f>SUM(BO38:BO45)</f>
        <v>4668.1799999999994</v>
      </c>
      <c r="BQ37" s="43"/>
      <c r="BR37" s="50">
        <f t="shared" ref="BR37:BR45" si="70">SUM(BG37,BK37,BM37,BO37)</f>
        <v>6224.24</v>
      </c>
      <c r="BS37" s="39" t="str">
        <f t="shared" si="22"/>
        <v>OK</v>
      </c>
    </row>
    <row r="38" spans="1:71" outlineLevel="1" x14ac:dyDescent="0.25">
      <c r="A38" s="8" t="s">
        <v>6</v>
      </c>
      <c r="B38" s="8" t="s">
        <v>54</v>
      </c>
      <c r="C38" s="8" t="s">
        <v>8</v>
      </c>
      <c r="D38" s="9" t="s">
        <v>55</v>
      </c>
      <c r="E38" s="51" t="s">
        <v>9</v>
      </c>
      <c r="F38" s="52">
        <v>5</v>
      </c>
      <c r="G38" s="53" t="e">
        <f>COTACOES!#REF!</f>
        <v>#REF!</v>
      </c>
      <c r="H38" s="53">
        <v>0</v>
      </c>
      <c r="I38" s="53" t="e">
        <f t="shared" ref="I38:I45" si="71">G38+H38</f>
        <v>#REF!</v>
      </c>
      <c r="J38" s="53" t="e">
        <f t="shared" ref="J38:J45" si="72">TRUNC(I38*F38,2)</f>
        <v>#REF!</v>
      </c>
      <c r="K38" s="58">
        <v>0.27760000000000001</v>
      </c>
      <c r="L38" s="53" t="e">
        <f t="shared" ref="L38:M45" si="73">TRUNC($F38*G38*(1+$K38),2)</f>
        <v>#REF!</v>
      </c>
      <c r="M38" s="53">
        <f t="shared" si="73"/>
        <v>0</v>
      </c>
      <c r="N38" s="53" t="e">
        <f t="shared" ref="N38:N45" si="74">M38+L38</f>
        <v>#REF!</v>
      </c>
      <c r="Z38" s="55">
        <v>0.25</v>
      </c>
      <c r="AA38" s="56" t="e">
        <f t="shared" ref="AA38:AA45" si="75">Z38*$N38</f>
        <v>#REF!</v>
      </c>
      <c r="AB38" s="55">
        <v>0.75</v>
      </c>
      <c r="AC38" s="56" t="e">
        <f t="shared" ref="AC38:AC45" si="76">AB38*$N38</f>
        <v>#REF!</v>
      </c>
      <c r="AE38" s="57">
        <f t="shared" ref="AE38:AE45" si="77">SUM(T38,X38,Z38,AB38)</f>
        <v>1</v>
      </c>
      <c r="AF38" s="50" t="e">
        <f t="shared" si="67"/>
        <v>#REF!</v>
      </c>
      <c r="AG38" s="39" t="e">
        <f t="shared" si="68"/>
        <v>#REF!</v>
      </c>
      <c r="AJ38" s="8" t="s">
        <v>6</v>
      </c>
      <c r="AK38" s="8" t="s">
        <v>54</v>
      </c>
      <c r="AL38" s="8" t="s">
        <v>8</v>
      </c>
      <c r="AM38" s="9" t="s">
        <v>55</v>
      </c>
      <c r="AN38" s="51" t="s">
        <v>9</v>
      </c>
      <c r="AO38" s="84">
        <v>5</v>
      </c>
      <c r="AP38" s="52"/>
      <c r="AQ38" s="59">
        <f t="shared" si="50"/>
        <v>0</v>
      </c>
      <c r="AR38" s="59">
        <f t="shared" si="51"/>
        <v>139.84388703736184</v>
      </c>
      <c r="AS38" s="59">
        <f t="shared" si="52"/>
        <v>139.84388703736184</v>
      </c>
      <c r="AT38" s="88">
        <v>0.14019999999999999</v>
      </c>
      <c r="AU38" s="52">
        <v>0</v>
      </c>
      <c r="AV38" s="52">
        <v>159.44999999999999</v>
      </c>
      <c r="AW38" s="52">
        <f t="shared" ref="AW38:AW45" si="78">AU38+AV38</f>
        <v>159.44999999999999</v>
      </c>
      <c r="AX38" s="53">
        <f t="shared" ref="AX38:AX45" si="79">$AO38*AU38</f>
        <v>0</v>
      </c>
      <c r="AY38" s="53">
        <f t="shared" ref="AY38:AY45" si="80">$AO38*AV38</f>
        <v>797.25</v>
      </c>
      <c r="AZ38" s="53">
        <f t="shared" ref="AZ38:AZ45" si="81">$AO38*AW38</f>
        <v>797.25</v>
      </c>
      <c r="BL38" s="55">
        <v>0.25</v>
      </c>
      <c r="BM38" s="97">
        <f t="shared" ref="BM38:BM45" si="82">BL38*$AZ38</f>
        <v>199.3125</v>
      </c>
      <c r="BN38" s="55">
        <v>0.75</v>
      </c>
      <c r="BO38" s="97">
        <f t="shared" ref="BO38" si="83">BN38*$AZ38</f>
        <v>597.9375</v>
      </c>
      <c r="BQ38" s="57">
        <f t="shared" ref="BQ38:BQ45" si="84">SUM(BF38,BJ38,BL38,BN38)</f>
        <v>1</v>
      </c>
      <c r="BR38" s="50">
        <f t="shared" si="70"/>
        <v>797.25</v>
      </c>
      <c r="BS38" s="39" t="str">
        <f t="shared" si="22"/>
        <v>OK</v>
      </c>
    </row>
    <row r="39" spans="1:71" outlineLevel="1" x14ac:dyDescent="0.25">
      <c r="A39" s="8" t="s">
        <v>6</v>
      </c>
      <c r="B39" s="8" t="s">
        <v>56</v>
      </c>
      <c r="C39" s="8" t="s">
        <v>8</v>
      </c>
      <c r="D39" s="9" t="s">
        <v>57</v>
      </c>
      <c r="E39" s="51" t="s">
        <v>9</v>
      </c>
      <c r="F39" s="52">
        <v>10</v>
      </c>
      <c r="G39" s="53" t="e">
        <f>COTACOES!#REF!</f>
        <v>#REF!</v>
      </c>
      <c r="H39" s="53">
        <v>0</v>
      </c>
      <c r="I39" s="53" t="e">
        <f t="shared" si="71"/>
        <v>#REF!</v>
      </c>
      <c r="J39" s="53" t="e">
        <f t="shared" si="72"/>
        <v>#REF!</v>
      </c>
      <c r="K39" s="58">
        <v>0.27760000000000001</v>
      </c>
      <c r="L39" s="53" t="e">
        <f t="shared" si="73"/>
        <v>#REF!</v>
      </c>
      <c r="M39" s="53">
        <f t="shared" si="73"/>
        <v>0</v>
      </c>
      <c r="N39" s="53" t="e">
        <f t="shared" si="74"/>
        <v>#REF!</v>
      </c>
      <c r="Z39" s="55">
        <v>0.25</v>
      </c>
      <c r="AA39" s="56" t="e">
        <f t="shared" si="75"/>
        <v>#REF!</v>
      </c>
      <c r="AB39" s="55">
        <v>0.75</v>
      </c>
      <c r="AC39" s="56" t="e">
        <f t="shared" si="76"/>
        <v>#REF!</v>
      </c>
      <c r="AE39" s="57">
        <f t="shared" si="77"/>
        <v>1</v>
      </c>
      <c r="AF39" s="50" t="e">
        <f t="shared" si="67"/>
        <v>#REF!</v>
      </c>
      <c r="AG39" s="39" t="e">
        <f t="shared" si="68"/>
        <v>#REF!</v>
      </c>
      <c r="AJ39" s="8" t="s">
        <v>6</v>
      </c>
      <c r="AK39" s="8" t="s">
        <v>56</v>
      </c>
      <c r="AL39" s="8" t="s">
        <v>8</v>
      </c>
      <c r="AM39" s="9" t="s">
        <v>57</v>
      </c>
      <c r="AN39" s="51" t="s">
        <v>9</v>
      </c>
      <c r="AO39" s="84">
        <v>10</v>
      </c>
      <c r="AP39" s="52"/>
      <c r="AQ39" s="59">
        <f t="shared" si="50"/>
        <v>0</v>
      </c>
      <c r="AR39" s="59">
        <f t="shared" si="51"/>
        <v>78.98614278196807</v>
      </c>
      <c r="AS39" s="59">
        <f t="shared" si="52"/>
        <v>78.98614278196807</v>
      </c>
      <c r="AT39" s="88">
        <v>0.14019999999999999</v>
      </c>
      <c r="AU39" s="52">
        <v>0</v>
      </c>
      <c r="AV39" s="52">
        <v>90.06</v>
      </c>
      <c r="AW39" s="52">
        <f t="shared" si="78"/>
        <v>90.06</v>
      </c>
      <c r="AX39" s="53">
        <f t="shared" si="79"/>
        <v>0</v>
      </c>
      <c r="AY39" s="53">
        <f t="shared" si="80"/>
        <v>900.6</v>
      </c>
      <c r="AZ39" s="53">
        <f t="shared" si="81"/>
        <v>900.6</v>
      </c>
      <c r="BL39" s="55">
        <v>0.25</v>
      </c>
      <c r="BM39" s="97">
        <f t="shared" si="82"/>
        <v>225.15</v>
      </c>
      <c r="BN39" s="55">
        <v>0.75</v>
      </c>
      <c r="BO39" s="97">
        <f t="shared" ref="BO39" si="85">BN39*$AZ39</f>
        <v>675.45</v>
      </c>
      <c r="BQ39" s="57">
        <f t="shared" si="84"/>
        <v>1</v>
      </c>
      <c r="BR39" s="50">
        <f t="shared" si="70"/>
        <v>900.6</v>
      </c>
      <c r="BS39" s="39" t="str">
        <f t="shared" si="22"/>
        <v>OK</v>
      </c>
    </row>
    <row r="40" spans="1:71" outlineLevel="1" x14ac:dyDescent="0.25">
      <c r="A40" s="8" t="s">
        <v>6</v>
      </c>
      <c r="B40" s="8" t="s">
        <v>58</v>
      </c>
      <c r="C40" s="8" t="s">
        <v>8</v>
      </c>
      <c r="D40" s="9" t="s">
        <v>59</v>
      </c>
      <c r="E40" s="51" t="s">
        <v>9</v>
      </c>
      <c r="F40" s="52">
        <v>30</v>
      </c>
      <c r="G40" s="53" t="e">
        <f>COTACOES!#REF!</f>
        <v>#REF!</v>
      </c>
      <c r="H40" s="53">
        <v>0</v>
      </c>
      <c r="I40" s="53" t="e">
        <f t="shared" si="71"/>
        <v>#REF!</v>
      </c>
      <c r="J40" s="53" t="e">
        <f t="shared" si="72"/>
        <v>#REF!</v>
      </c>
      <c r="K40" s="58">
        <v>0.27760000000000001</v>
      </c>
      <c r="L40" s="53" t="e">
        <f t="shared" si="73"/>
        <v>#REF!</v>
      </c>
      <c r="M40" s="53">
        <f t="shared" si="73"/>
        <v>0</v>
      </c>
      <c r="N40" s="53" t="e">
        <f t="shared" si="74"/>
        <v>#REF!</v>
      </c>
      <c r="Z40" s="55">
        <v>0.25</v>
      </c>
      <c r="AA40" s="56" t="e">
        <f t="shared" si="75"/>
        <v>#REF!</v>
      </c>
      <c r="AB40" s="55">
        <v>0.75</v>
      </c>
      <c r="AC40" s="56" t="e">
        <f t="shared" si="76"/>
        <v>#REF!</v>
      </c>
      <c r="AE40" s="57">
        <f t="shared" si="77"/>
        <v>1</v>
      </c>
      <c r="AF40" s="50" t="e">
        <f t="shared" si="67"/>
        <v>#REF!</v>
      </c>
      <c r="AG40" s="39" t="e">
        <f t="shared" si="68"/>
        <v>#REF!</v>
      </c>
      <c r="AJ40" s="8" t="s">
        <v>6</v>
      </c>
      <c r="AK40" s="8" t="s">
        <v>58</v>
      </c>
      <c r="AL40" s="8" t="s">
        <v>8</v>
      </c>
      <c r="AM40" s="9" t="s">
        <v>59</v>
      </c>
      <c r="AN40" s="51" t="s">
        <v>9</v>
      </c>
      <c r="AO40" s="84">
        <v>30</v>
      </c>
      <c r="AP40" s="52"/>
      <c r="AQ40" s="59">
        <f t="shared" si="50"/>
        <v>0</v>
      </c>
      <c r="AR40" s="59">
        <f t="shared" si="51"/>
        <v>46.702332924048406</v>
      </c>
      <c r="AS40" s="59">
        <f t="shared" si="52"/>
        <v>46.702332924048406</v>
      </c>
      <c r="AT40" s="88">
        <v>0.14019999999999999</v>
      </c>
      <c r="AU40" s="52">
        <v>0</v>
      </c>
      <c r="AV40" s="52">
        <v>53.25</v>
      </c>
      <c r="AW40" s="52">
        <f t="shared" si="78"/>
        <v>53.25</v>
      </c>
      <c r="AX40" s="53">
        <f t="shared" si="79"/>
        <v>0</v>
      </c>
      <c r="AY40" s="53">
        <f t="shared" si="80"/>
        <v>1597.5</v>
      </c>
      <c r="AZ40" s="53">
        <f t="shared" si="81"/>
        <v>1597.5</v>
      </c>
      <c r="BL40" s="55">
        <v>0.25</v>
      </c>
      <c r="BM40" s="97">
        <f t="shared" si="82"/>
        <v>399.375</v>
      </c>
      <c r="BN40" s="55">
        <v>0.75</v>
      </c>
      <c r="BO40" s="97">
        <f t="shared" ref="BO40" si="86">BN40*$AZ40</f>
        <v>1198.125</v>
      </c>
      <c r="BQ40" s="57">
        <f t="shared" si="84"/>
        <v>1</v>
      </c>
      <c r="BR40" s="50">
        <f t="shared" si="70"/>
        <v>1597.5</v>
      </c>
      <c r="BS40" s="39" t="str">
        <f t="shared" si="22"/>
        <v>OK</v>
      </c>
    </row>
    <row r="41" spans="1:71" outlineLevel="1" x14ac:dyDescent="0.25">
      <c r="A41" s="8" t="s">
        <v>6</v>
      </c>
      <c r="B41" s="8" t="s">
        <v>60</v>
      </c>
      <c r="C41" s="8" t="s">
        <v>8</v>
      </c>
      <c r="D41" s="9" t="s">
        <v>61</v>
      </c>
      <c r="E41" s="51" t="s">
        <v>9</v>
      </c>
      <c r="F41" s="52">
        <v>5</v>
      </c>
      <c r="G41" s="53" t="e">
        <f>COTACOES!#REF!</f>
        <v>#REF!</v>
      </c>
      <c r="H41" s="53">
        <v>0</v>
      </c>
      <c r="I41" s="53" t="e">
        <f t="shared" si="71"/>
        <v>#REF!</v>
      </c>
      <c r="J41" s="53" t="e">
        <f t="shared" si="72"/>
        <v>#REF!</v>
      </c>
      <c r="K41" s="58">
        <v>0.27760000000000001</v>
      </c>
      <c r="L41" s="53" t="e">
        <f t="shared" si="73"/>
        <v>#REF!</v>
      </c>
      <c r="M41" s="53">
        <f t="shared" si="73"/>
        <v>0</v>
      </c>
      <c r="N41" s="53" t="e">
        <f t="shared" si="74"/>
        <v>#REF!</v>
      </c>
      <c r="Z41" s="55">
        <v>0.25</v>
      </c>
      <c r="AA41" s="56" t="e">
        <f t="shared" si="75"/>
        <v>#REF!</v>
      </c>
      <c r="AB41" s="55">
        <v>0.75</v>
      </c>
      <c r="AC41" s="56" t="e">
        <f t="shared" si="76"/>
        <v>#REF!</v>
      </c>
      <c r="AE41" s="57">
        <f t="shared" si="77"/>
        <v>1</v>
      </c>
      <c r="AF41" s="50" t="e">
        <f t="shared" si="67"/>
        <v>#REF!</v>
      </c>
      <c r="AG41" s="39" t="e">
        <f t="shared" si="68"/>
        <v>#REF!</v>
      </c>
      <c r="AJ41" s="8" t="s">
        <v>6</v>
      </c>
      <c r="AK41" s="8" t="s">
        <v>60</v>
      </c>
      <c r="AL41" s="8" t="s">
        <v>8</v>
      </c>
      <c r="AM41" s="9" t="s">
        <v>61</v>
      </c>
      <c r="AN41" s="51" t="s">
        <v>9</v>
      </c>
      <c r="AO41" s="84">
        <v>5</v>
      </c>
      <c r="AP41" s="52"/>
      <c r="AQ41" s="59">
        <f t="shared" si="50"/>
        <v>0</v>
      </c>
      <c r="AR41" s="59">
        <f t="shared" si="51"/>
        <v>400.63146816348006</v>
      </c>
      <c r="AS41" s="59">
        <f t="shared" si="52"/>
        <v>400.63146816348006</v>
      </c>
      <c r="AT41" s="88">
        <v>0.14019999999999999</v>
      </c>
      <c r="AU41" s="52">
        <v>0</v>
      </c>
      <c r="AV41" s="52">
        <v>456.8</v>
      </c>
      <c r="AW41" s="52">
        <f t="shared" si="78"/>
        <v>456.8</v>
      </c>
      <c r="AX41" s="53">
        <f t="shared" si="79"/>
        <v>0</v>
      </c>
      <c r="AY41" s="53">
        <f t="shared" si="80"/>
        <v>2284</v>
      </c>
      <c r="AZ41" s="53">
        <f t="shared" si="81"/>
        <v>2284</v>
      </c>
      <c r="BL41" s="55">
        <v>0.25</v>
      </c>
      <c r="BM41" s="97">
        <f t="shared" si="82"/>
        <v>571</v>
      </c>
      <c r="BN41" s="55">
        <v>0.75</v>
      </c>
      <c r="BO41" s="97">
        <f t="shared" ref="BO41" si="87">BN41*$AZ41</f>
        <v>1713</v>
      </c>
      <c r="BQ41" s="57">
        <f t="shared" si="84"/>
        <v>1</v>
      </c>
      <c r="BR41" s="50">
        <f t="shared" si="70"/>
        <v>2284</v>
      </c>
      <c r="BS41" s="39" t="str">
        <f t="shared" si="22"/>
        <v>OK</v>
      </c>
    </row>
    <row r="42" spans="1:71" ht="30" outlineLevel="1" x14ac:dyDescent="0.25">
      <c r="A42" s="8" t="s">
        <v>24</v>
      </c>
      <c r="B42" s="8" t="s">
        <v>62</v>
      </c>
      <c r="C42" s="8" t="s">
        <v>255</v>
      </c>
      <c r="D42" s="67" t="s">
        <v>254</v>
      </c>
      <c r="E42" s="51" t="s">
        <v>9</v>
      </c>
      <c r="F42" s="52">
        <v>20</v>
      </c>
      <c r="G42" s="53">
        <v>6.6</v>
      </c>
      <c r="H42" s="53">
        <v>4.26</v>
      </c>
      <c r="I42" s="53">
        <f t="shared" si="71"/>
        <v>10.86</v>
      </c>
      <c r="J42" s="53">
        <f t="shared" si="72"/>
        <v>217.2</v>
      </c>
      <c r="K42" s="58">
        <v>0.27760000000000001</v>
      </c>
      <c r="L42" s="53">
        <f t="shared" si="73"/>
        <v>168.64</v>
      </c>
      <c r="M42" s="53">
        <f t="shared" si="73"/>
        <v>108.85</v>
      </c>
      <c r="N42" s="53">
        <f t="shared" si="74"/>
        <v>277.49</v>
      </c>
      <c r="Z42" s="55">
        <v>0.25</v>
      </c>
      <c r="AA42" s="56">
        <f t="shared" si="75"/>
        <v>69.372500000000002</v>
      </c>
      <c r="AB42" s="55">
        <v>0.75</v>
      </c>
      <c r="AC42" s="56">
        <f t="shared" si="76"/>
        <v>208.11750000000001</v>
      </c>
      <c r="AE42" s="57">
        <f t="shared" si="77"/>
        <v>1</v>
      </c>
      <c r="AF42" s="50">
        <f t="shared" si="67"/>
        <v>277.49</v>
      </c>
      <c r="AG42" s="39" t="str">
        <f t="shared" si="68"/>
        <v>OK</v>
      </c>
      <c r="AJ42" s="8" t="s">
        <v>24</v>
      </c>
      <c r="AK42" s="8" t="s">
        <v>62</v>
      </c>
      <c r="AL42" s="8" t="s">
        <v>255</v>
      </c>
      <c r="AM42" s="67" t="s">
        <v>254</v>
      </c>
      <c r="AN42" s="51" t="s">
        <v>9</v>
      </c>
      <c r="AO42" s="84">
        <v>20</v>
      </c>
      <c r="AP42" s="52"/>
      <c r="AQ42" s="59">
        <f t="shared" si="50"/>
        <v>5.1306788282757401</v>
      </c>
      <c r="AR42" s="59">
        <f t="shared" si="51"/>
        <v>6.7093492369759691</v>
      </c>
      <c r="AS42" s="59">
        <f t="shared" si="52"/>
        <v>11.84002806525171</v>
      </c>
      <c r="AT42" s="88">
        <v>0.14019999999999999</v>
      </c>
      <c r="AU42" s="52">
        <v>5.85</v>
      </c>
      <c r="AV42" s="52">
        <v>7.65</v>
      </c>
      <c r="AW42" s="52">
        <f t="shared" si="78"/>
        <v>13.5</v>
      </c>
      <c r="AX42" s="53">
        <f t="shared" si="79"/>
        <v>117</v>
      </c>
      <c r="AY42" s="53">
        <f t="shared" si="80"/>
        <v>153</v>
      </c>
      <c r="AZ42" s="53">
        <f t="shared" si="81"/>
        <v>270</v>
      </c>
      <c r="BL42" s="55">
        <v>0.25</v>
      </c>
      <c r="BM42" s="97">
        <f t="shared" si="82"/>
        <v>67.5</v>
      </c>
      <c r="BN42" s="55">
        <v>0.75</v>
      </c>
      <c r="BO42" s="97">
        <f t="shared" ref="BO42" si="88">BN42*$AZ42</f>
        <v>202.5</v>
      </c>
      <c r="BQ42" s="57">
        <f t="shared" si="84"/>
        <v>1</v>
      </c>
      <c r="BR42" s="50">
        <f t="shared" si="70"/>
        <v>270</v>
      </c>
      <c r="BS42" s="39" t="str">
        <f t="shared" si="22"/>
        <v>OK</v>
      </c>
    </row>
    <row r="43" spans="1:71" ht="30" outlineLevel="1" x14ac:dyDescent="0.25">
      <c r="A43" s="8" t="s">
        <v>24</v>
      </c>
      <c r="B43" s="8" t="s">
        <v>63</v>
      </c>
      <c r="C43" s="8" t="s">
        <v>253</v>
      </c>
      <c r="D43" s="67" t="s">
        <v>64</v>
      </c>
      <c r="E43" s="51" t="s">
        <v>9</v>
      </c>
      <c r="F43" s="52">
        <v>30</v>
      </c>
      <c r="G43" s="53">
        <v>0.62</v>
      </c>
      <c r="H43" s="53">
        <v>0</v>
      </c>
      <c r="I43" s="53">
        <f t="shared" si="71"/>
        <v>0.62</v>
      </c>
      <c r="J43" s="53">
        <f t="shared" si="72"/>
        <v>18.600000000000001</v>
      </c>
      <c r="K43" s="58">
        <v>0.27760000000000001</v>
      </c>
      <c r="L43" s="53">
        <f t="shared" si="73"/>
        <v>23.76</v>
      </c>
      <c r="M43" s="53">
        <f t="shared" si="73"/>
        <v>0</v>
      </c>
      <c r="N43" s="53">
        <f t="shared" si="74"/>
        <v>23.76</v>
      </c>
      <c r="Z43" s="55">
        <v>0.25</v>
      </c>
      <c r="AA43" s="56">
        <f t="shared" si="75"/>
        <v>5.94</v>
      </c>
      <c r="AB43" s="55">
        <v>0.75</v>
      </c>
      <c r="AC43" s="56">
        <f t="shared" si="76"/>
        <v>17.82</v>
      </c>
      <c r="AE43" s="57">
        <f t="shared" si="77"/>
        <v>1</v>
      </c>
      <c r="AF43" s="50">
        <f t="shared" si="67"/>
        <v>23.76</v>
      </c>
      <c r="AG43" s="39" t="str">
        <f t="shared" si="68"/>
        <v>OK</v>
      </c>
      <c r="AJ43" s="8" t="s">
        <v>24</v>
      </c>
      <c r="AK43" s="8" t="s">
        <v>63</v>
      </c>
      <c r="AL43" s="8" t="s">
        <v>253</v>
      </c>
      <c r="AM43" s="67" t="s">
        <v>64</v>
      </c>
      <c r="AN43" s="51" t="s">
        <v>9</v>
      </c>
      <c r="AO43" s="84">
        <v>30</v>
      </c>
      <c r="AP43" s="52"/>
      <c r="AQ43" s="59">
        <f t="shared" si="50"/>
        <v>0</v>
      </c>
      <c r="AR43" s="59">
        <f t="shared" si="51"/>
        <v>0.61392738116119971</v>
      </c>
      <c r="AS43" s="59">
        <f t="shared" si="52"/>
        <v>0.61392738116119971</v>
      </c>
      <c r="AT43" s="88">
        <v>0.14019999999999999</v>
      </c>
      <c r="AU43" s="52">
        <v>0</v>
      </c>
      <c r="AV43" s="52">
        <v>0.7</v>
      </c>
      <c r="AW43" s="52">
        <f t="shared" si="78"/>
        <v>0.7</v>
      </c>
      <c r="AX43" s="53">
        <f t="shared" si="79"/>
        <v>0</v>
      </c>
      <c r="AY43" s="53">
        <f t="shared" si="80"/>
        <v>21</v>
      </c>
      <c r="AZ43" s="53">
        <f t="shared" si="81"/>
        <v>21</v>
      </c>
      <c r="BL43" s="55">
        <v>0.25</v>
      </c>
      <c r="BM43" s="97">
        <f t="shared" si="82"/>
        <v>5.25</v>
      </c>
      <c r="BN43" s="55">
        <v>0.75</v>
      </c>
      <c r="BO43" s="97">
        <f t="shared" ref="BO43" si="89">BN43*$AZ43</f>
        <v>15.75</v>
      </c>
      <c r="BQ43" s="57">
        <f t="shared" si="84"/>
        <v>1</v>
      </c>
      <c r="BR43" s="50">
        <f t="shared" si="70"/>
        <v>21</v>
      </c>
      <c r="BS43" s="39" t="str">
        <f t="shared" si="22"/>
        <v>OK</v>
      </c>
    </row>
    <row r="44" spans="1:71" outlineLevel="1" x14ac:dyDescent="0.25">
      <c r="A44" s="8" t="s">
        <v>6</v>
      </c>
      <c r="B44" s="8" t="s">
        <v>65</v>
      </c>
      <c r="C44" s="8" t="s">
        <v>8</v>
      </c>
      <c r="D44" s="9" t="s">
        <v>66</v>
      </c>
      <c r="E44" s="8" t="s">
        <v>9</v>
      </c>
      <c r="F44" s="59">
        <v>5</v>
      </c>
      <c r="G44" s="53" t="e">
        <f>COTACOES!#REF!</f>
        <v>#REF!</v>
      </c>
      <c r="H44" s="53">
        <v>0</v>
      </c>
      <c r="I44" s="53" t="e">
        <f t="shared" si="71"/>
        <v>#REF!</v>
      </c>
      <c r="J44" s="53" t="e">
        <f t="shared" si="72"/>
        <v>#REF!</v>
      </c>
      <c r="K44" s="58">
        <v>0.27760000000000001</v>
      </c>
      <c r="L44" s="53" t="e">
        <f t="shared" si="73"/>
        <v>#REF!</v>
      </c>
      <c r="M44" s="53">
        <f t="shared" si="73"/>
        <v>0</v>
      </c>
      <c r="N44" s="53" t="e">
        <f t="shared" si="74"/>
        <v>#REF!</v>
      </c>
      <c r="Z44" s="55">
        <v>0.25</v>
      </c>
      <c r="AA44" s="56" t="e">
        <f t="shared" si="75"/>
        <v>#REF!</v>
      </c>
      <c r="AB44" s="55">
        <v>0.75</v>
      </c>
      <c r="AC44" s="56" t="e">
        <f t="shared" si="76"/>
        <v>#REF!</v>
      </c>
      <c r="AE44" s="57">
        <f t="shared" si="77"/>
        <v>1</v>
      </c>
      <c r="AF44" s="50" t="e">
        <f t="shared" si="67"/>
        <v>#REF!</v>
      </c>
      <c r="AG44" s="39" t="e">
        <f t="shared" si="68"/>
        <v>#REF!</v>
      </c>
      <c r="AJ44" s="8" t="s">
        <v>6</v>
      </c>
      <c r="AK44" s="8" t="s">
        <v>65</v>
      </c>
      <c r="AL44" s="8" t="s">
        <v>8</v>
      </c>
      <c r="AM44" s="9" t="s">
        <v>66</v>
      </c>
      <c r="AN44" s="8" t="s">
        <v>9</v>
      </c>
      <c r="AO44" s="85">
        <v>5</v>
      </c>
      <c r="AP44" s="59"/>
      <c r="AQ44" s="59">
        <f t="shared" si="50"/>
        <v>0</v>
      </c>
      <c r="AR44" s="59">
        <f t="shared" si="51"/>
        <v>30.249079108928257</v>
      </c>
      <c r="AS44" s="59">
        <f t="shared" si="52"/>
        <v>30.249079108928257</v>
      </c>
      <c r="AT44" s="88">
        <v>0.14019999999999999</v>
      </c>
      <c r="AU44" s="59">
        <v>0</v>
      </c>
      <c r="AV44" s="59">
        <v>34.49</v>
      </c>
      <c r="AW44" s="52">
        <f t="shared" si="78"/>
        <v>34.49</v>
      </c>
      <c r="AX44" s="53">
        <f t="shared" si="79"/>
        <v>0</v>
      </c>
      <c r="AY44" s="53">
        <f t="shared" si="80"/>
        <v>172.45000000000002</v>
      </c>
      <c r="AZ44" s="53">
        <f t="shared" si="81"/>
        <v>172.45000000000002</v>
      </c>
      <c r="BL44" s="55">
        <v>0.25</v>
      </c>
      <c r="BM44" s="97">
        <f t="shared" si="82"/>
        <v>43.112500000000004</v>
      </c>
      <c r="BN44" s="55">
        <v>0.75</v>
      </c>
      <c r="BO44" s="97">
        <f t="shared" ref="BO44" si="90">BN44*$AZ44</f>
        <v>129.33750000000001</v>
      </c>
      <c r="BQ44" s="57">
        <f t="shared" si="84"/>
        <v>1</v>
      </c>
      <c r="BR44" s="50">
        <f t="shared" si="70"/>
        <v>172.45000000000002</v>
      </c>
      <c r="BS44" s="39" t="str">
        <f t="shared" si="22"/>
        <v>OK</v>
      </c>
    </row>
    <row r="45" spans="1:71" outlineLevel="1" x14ac:dyDescent="0.25">
      <c r="A45" s="8" t="s">
        <v>24</v>
      </c>
      <c r="B45" s="8" t="s">
        <v>67</v>
      </c>
      <c r="C45" s="8" t="s">
        <v>256</v>
      </c>
      <c r="D45" s="9" t="s">
        <v>68</v>
      </c>
      <c r="E45" s="8" t="s">
        <v>69</v>
      </c>
      <c r="F45" s="59">
        <v>8</v>
      </c>
      <c r="G45" s="53">
        <v>4.5599999999999996</v>
      </c>
      <c r="H45" s="53">
        <v>12.49</v>
      </c>
      <c r="I45" s="53">
        <f t="shared" si="71"/>
        <v>17.05</v>
      </c>
      <c r="J45" s="53">
        <f t="shared" si="72"/>
        <v>136.4</v>
      </c>
      <c r="K45" s="58">
        <v>0.27760000000000001</v>
      </c>
      <c r="L45" s="53">
        <f t="shared" si="73"/>
        <v>46.6</v>
      </c>
      <c r="M45" s="53">
        <f t="shared" si="73"/>
        <v>127.65</v>
      </c>
      <c r="N45" s="53">
        <f t="shared" si="74"/>
        <v>174.25</v>
      </c>
      <c r="Z45" s="55">
        <v>0.25</v>
      </c>
      <c r="AA45" s="56">
        <f t="shared" si="75"/>
        <v>43.5625</v>
      </c>
      <c r="AB45" s="55">
        <v>0.75</v>
      </c>
      <c r="AC45" s="56">
        <f t="shared" si="76"/>
        <v>130.6875</v>
      </c>
      <c r="AE45" s="57">
        <f t="shared" si="77"/>
        <v>1</v>
      </c>
      <c r="AF45" s="50">
        <f t="shared" si="67"/>
        <v>174.25</v>
      </c>
      <c r="AG45" s="39" t="str">
        <f t="shared" si="68"/>
        <v>OK</v>
      </c>
      <c r="AJ45" s="8" t="s">
        <v>24</v>
      </c>
      <c r="AK45" s="8" t="s">
        <v>67</v>
      </c>
      <c r="AL45" s="8" t="s">
        <v>256</v>
      </c>
      <c r="AM45" s="9" t="s">
        <v>68</v>
      </c>
      <c r="AN45" s="8" t="s">
        <v>69</v>
      </c>
      <c r="AO45" s="85">
        <v>8</v>
      </c>
      <c r="AP45" s="59"/>
      <c r="AQ45" s="59">
        <f t="shared" si="50"/>
        <v>15.093843185406069</v>
      </c>
      <c r="AR45" s="59">
        <f t="shared" si="51"/>
        <v>4.7974039642168034</v>
      </c>
      <c r="AS45" s="59">
        <f t="shared" si="52"/>
        <v>19.89124714962287</v>
      </c>
      <c r="AT45" s="88">
        <v>0.14019999999999999</v>
      </c>
      <c r="AU45" s="59">
        <v>17.21</v>
      </c>
      <c r="AV45" s="59">
        <v>5.47</v>
      </c>
      <c r="AW45" s="52">
        <f t="shared" si="78"/>
        <v>22.68</v>
      </c>
      <c r="AX45" s="53">
        <f t="shared" si="79"/>
        <v>137.68</v>
      </c>
      <c r="AY45" s="53">
        <f t="shared" si="80"/>
        <v>43.76</v>
      </c>
      <c r="AZ45" s="53">
        <f t="shared" si="81"/>
        <v>181.44</v>
      </c>
      <c r="BL45" s="55">
        <v>0.25</v>
      </c>
      <c r="BM45" s="97">
        <f t="shared" si="82"/>
        <v>45.36</v>
      </c>
      <c r="BN45" s="55">
        <v>0.75</v>
      </c>
      <c r="BO45" s="97">
        <f t="shared" ref="BO45" si="91">BN45*$AZ45</f>
        <v>136.07999999999998</v>
      </c>
      <c r="BQ45" s="57">
        <f t="shared" si="84"/>
        <v>1</v>
      </c>
      <c r="BR45" s="50">
        <f t="shared" si="70"/>
        <v>181.44</v>
      </c>
      <c r="BS45" s="39" t="str">
        <f t="shared" si="22"/>
        <v>OK</v>
      </c>
    </row>
    <row r="46" spans="1:71" x14ac:dyDescent="0.25">
      <c r="D46" s="65"/>
      <c r="AM46" s="65"/>
    </row>
    <row r="47" spans="1:71" x14ac:dyDescent="0.25">
      <c r="A47" s="4" t="s">
        <v>70</v>
      </c>
      <c r="B47" s="5"/>
      <c r="C47" s="5"/>
      <c r="D47" s="18"/>
      <c r="E47" s="5"/>
      <c r="F47" s="6"/>
      <c r="G47" s="6"/>
      <c r="H47" s="6"/>
      <c r="I47" s="7"/>
      <c r="J47" s="7"/>
      <c r="K47" s="7"/>
      <c r="L47" s="7"/>
      <c r="M47" s="7"/>
      <c r="N47" s="7">
        <f>SUM(N48:N57)</f>
        <v>2607.27</v>
      </c>
      <c r="P47" s="48" t="e">
        <f>N47/$N$170</f>
        <v>#REF!</v>
      </c>
      <c r="Q47" s="48"/>
      <c r="T47" s="49" t="e">
        <f>U47/$N$170</f>
        <v>#REF!</v>
      </c>
      <c r="U47" s="47">
        <f>SUM(U48:U57)</f>
        <v>0</v>
      </c>
      <c r="V47" s="49" t="e">
        <f>W47/$N$170</f>
        <v>#REF!</v>
      </c>
      <c r="W47" s="47">
        <f>SUM(W48:W57)</f>
        <v>0</v>
      </c>
      <c r="X47" s="49" t="e">
        <f>Y47/$N$170</f>
        <v>#REF!</v>
      </c>
      <c r="Y47" s="47">
        <f>SUM(Y48:Y57)</f>
        <v>0</v>
      </c>
      <c r="Z47" s="49" t="e">
        <f>AA47/$N$170</f>
        <v>#REF!</v>
      </c>
      <c r="AA47" s="47">
        <f>SUM(AA48:AA57)</f>
        <v>0</v>
      </c>
      <c r="AB47" s="49" t="e">
        <f>AC47/$N$170</f>
        <v>#REF!</v>
      </c>
      <c r="AC47" s="47">
        <f>SUM(AC48:AC57)</f>
        <v>2607.27</v>
      </c>
      <c r="AE47" s="43"/>
      <c r="AF47" s="50">
        <f t="shared" ref="AF47:AF57" si="92">SUM(U47,Y47,AA47,AC47)</f>
        <v>2607.27</v>
      </c>
      <c r="AG47" s="39" t="str">
        <f t="shared" ref="AG47:AG57" si="93">IF(AF47=N47,"OK","VERIFICAR")</f>
        <v>OK</v>
      </c>
      <c r="AJ47" s="4" t="s">
        <v>70</v>
      </c>
      <c r="AK47" s="5"/>
      <c r="AL47" s="5"/>
      <c r="AM47" s="18"/>
      <c r="AN47" s="5"/>
      <c r="AO47" s="6"/>
      <c r="AP47" s="90"/>
      <c r="AQ47" s="90"/>
      <c r="AR47" s="90"/>
      <c r="AS47" s="90"/>
      <c r="AT47" s="7"/>
      <c r="AU47" s="90"/>
      <c r="AV47" s="90"/>
      <c r="AW47" s="90"/>
      <c r="AX47" s="47">
        <f t="shared" ref="AX47:AY47" si="94">SUM(AX48:AX57)</f>
        <v>588.78</v>
      </c>
      <c r="AY47" s="47">
        <f t="shared" si="94"/>
        <v>1621.0699999999997</v>
      </c>
      <c r="AZ47" s="47">
        <f>SUM(AZ48:AZ57)</f>
        <v>2209.85</v>
      </c>
      <c r="BB47" s="48" t="e">
        <f>#REF!/$N$170</f>
        <v>#REF!</v>
      </c>
      <c r="BC47" s="48"/>
      <c r="BF47" s="49" t="e">
        <f>BG47/$N$170</f>
        <v>#REF!</v>
      </c>
      <c r="BG47" s="47">
        <f>SUM(BG48:BG57)</f>
        <v>0</v>
      </c>
      <c r="BH47" s="49" t="e">
        <f>BI47/$N$170</f>
        <v>#REF!</v>
      </c>
      <c r="BI47" s="47">
        <f>SUM(BI48:BI57)</f>
        <v>0</v>
      </c>
      <c r="BJ47" s="49" t="e">
        <f>BK47/$N$170</f>
        <v>#REF!</v>
      </c>
      <c r="BK47" s="47">
        <f>SUM(BK48:BK57)</f>
        <v>2209.85</v>
      </c>
      <c r="BL47" s="49" t="e">
        <f>BM47/$N$170</f>
        <v>#REF!</v>
      </c>
      <c r="BM47" s="47">
        <f>SUM(BM48:BM57)</f>
        <v>0</v>
      </c>
      <c r="BN47" s="49" t="e">
        <f>BO47/$N$170</f>
        <v>#REF!</v>
      </c>
      <c r="BO47" s="47">
        <f>SUM(BO48:BO57)</f>
        <v>0</v>
      </c>
      <c r="BQ47" s="43"/>
      <c r="BR47" s="50">
        <f t="shared" ref="BR47:BR57" si="95">SUM(BG47,BK47,BM47,BO47)</f>
        <v>2209.85</v>
      </c>
      <c r="BS47" s="39" t="str">
        <f t="shared" si="22"/>
        <v>OK</v>
      </c>
    </row>
    <row r="48" spans="1:71" ht="30" outlineLevel="1" x14ac:dyDescent="0.25">
      <c r="A48" s="8" t="s">
        <v>24</v>
      </c>
      <c r="B48" s="8" t="s">
        <v>71</v>
      </c>
      <c r="C48" s="8" t="s">
        <v>262</v>
      </c>
      <c r="D48" s="9" t="s">
        <v>82</v>
      </c>
      <c r="E48" s="51" t="s">
        <v>17</v>
      </c>
      <c r="F48" s="69">
        <v>10</v>
      </c>
      <c r="G48" s="53">
        <v>43.68</v>
      </c>
      <c r="H48" s="53">
        <v>0</v>
      </c>
      <c r="I48" s="53">
        <f t="shared" ref="I48:I57" si="96">G48+H48</f>
        <v>43.68</v>
      </c>
      <c r="J48" s="53">
        <f t="shared" ref="J48:J57" si="97">TRUNC(I48*F48,2)</f>
        <v>436.8</v>
      </c>
      <c r="K48" s="58">
        <v>0.27760000000000001</v>
      </c>
      <c r="L48" s="53">
        <f t="shared" ref="L48:M57" si="98">TRUNC($F48*G48*(1+$K48),2)</f>
        <v>558.04999999999995</v>
      </c>
      <c r="M48" s="53">
        <f t="shared" si="98"/>
        <v>0</v>
      </c>
      <c r="N48" s="53">
        <f t="shared" ref="N48:N57" si="99">M48+L48</f>
        <v>558.04999999999995</v>
      </c>
      <c r="AB48" s="55">
        <v>1</v>
      </c>
      <c r="AC48" s="56">
        <f t="shared" ref="AC48:AC57" si="100">AB48*$N48</f>
        <v>558.04999999999995</v>
      </c>
      <c r="AE48" s="57">
        <f t="shared" ref="AE48:AE57" si="101">SUM(T48,X48,Z48,AB48)</f>
        <v>1</v>
      </c>
      <c r="AF48" s="50">
        <f t="shared" si="92"/>
        <v>558.04999999999995</v>
      </c>
      <c r="AG48" s="39" t="str">
        <f t="shared" si="93"/>
        <v>OK</v>
      </c>
      <c r="AJ48" s="8" t="s">
        <v>24</v>
      </c>
      <c r="AK48" s="8" t="s">
        <v>71</v>
      </c>
      <c r="AL48" s="8" t="s">
        <v>262</v>
      </c>
      <c r="AM48" s="9" t="s">
        <v>82</v>
      </c>
      <c r="AN48" s="51" t="s">
        <v>17</v>
      </c>
      <c r="AO48" s="87">
        <v>10</v>
      </c>
      <c r="AP48" s="69"/>
      <c r="AQ48" s="59">
        <f t="shared" ref="AQ48:AQ57" si="102">AU48/(1+$AT48)</f>
        <v>0</v>
      </c>
      <c r="AR48" s="59">
        <f t="shared" ref="AR48:AR57" si="103">AV48/(1+$AT48)</f>
        <v>39.756183125767407</v>
      </c>
      <c r="AS48" s="59">
        <f t="shared" ref="AS48:AS57" si="104">AW48/(1+$AT48)</f>
        <v>39.756183125767407</v>
      </c>
      <c r="AT48" s="88">
        <v>0.14019999999999999</v>
      </c>
      <c r="AU48" s="69">
        <v>0</v>
      </c>
      <c r="AV48" s="69">
        <v>45.33</v>
      </c>
      <c r="AW48" s="52">
        <f t="shared" ref="AW48:AW57" si="105">AU48+AV48</f>
        <v>45.33</v>
      </c>
      <c r="AX48" s="53">
        <f t="shared" ref="AX48:AX57" si="106">$AO48*AU48</f>
        <v>0</v>
      </c>
      <c r="AY48" s="53">
        <f t="shared" ref="AY48:AY57" si="107">$AO48*AV48</f>
        <v>453.29999999999995</v>
      </c>
      <c r="AZ48" s="53">
        <f t="shared" ref="AZ48:AZ57" si="108">$AO48*AW48</f>
        <v>453.29999999999995</v>
      </c>
      <c r="BJ48" s="55">
        <v>1</v>
      </c>
      <c r="BK48" s="97">
        <f t="shared" ref="BK48:BK57" si="109">BJ48*$AZ48</f>
        <v>453.29999999999995</v>
      </c>
      <c r="BQ48" s="57">
        <f t="shared" ref="BQ48:BQ57" si="110">SUM(BF48,BJ48,BL48,BN48)</f>
        <v>1</v>
      </c>
      <c r="BR48" s="50">
        <f t="shared" si="95"/>
        <v>453.29999999999995</v>
      </c>
      <c r="BS48" s="39" t="str">
        <f t="shared" si="22"/>
        <v>OK</v>
      </c>
    </row>
    <row r="49" spans="1:71" ht="30" outlineLevel="1" x14ac:dyDescent="0.25">
      <c r="A49" s="8" t="s">
        <v>24</v>
      </c>
      <c r="B49" s="8" t="s">
        <v>72</v>
      </c>
      <c r="C49" s="8" t="s">
        <v>263</v>
      </c>
      <c r="D49" s="9" t="s">
        <v>83</v>
      </c>
      <c r="E49" s="51" t="s">
        <v>17</v>
      </c>
      <c r="F49" s="69">
        <v>3</v>
      </c>
      <c r="G49" s="53">
        <v>23.34</v>
      </c>
      <c r="H49" s="53">
        <v>0</v>
      </c>
      <c r="I49" s="53">
        <f t="shared" si="96"/>
        <v>23.34</v>
      </c>
      <c r="J49" s="53">
        <f t="shared" si="97"/>
        <v>70.02</v>
      </c>
      <c r="K49" s="58">
        <v>0.27760000000000001</v>
      </c>
      <c r="L49" s="53">
        <f t="shared" si="98"/>
        <v>89.45</v>
      </c>
      <c r="M49" s="53">
        <f t="shared" si="98"/>
        <v>0</v>
      </c>
      <c r="N49" s="53">
        <f t="shared" si="99"/>
        <v>89.45</v>
      </c>
      <c r="AB49" s="55">
        <v>1</v>
      </c>
      <c r="AC49" s="56">
        <f t="shared" si="100"/>
        <v>89.45</v>
      </c>
      <c r="AE49" s="57">
        <f t="shared" si="101"/>
        <v>1</v>
      </c>
      <c r="AF49" s="50">
        <f t="shared" si="92"/>
        <v>89.45</v>
      </c>
      <c r="AG49" s="39" t="str">
        <f t="shared" si="93"/>
        <v>OK</v>
      </c>
      <c r="AJ49" s="8" t="s">
        <v>24</v>
      </c>
      <c r="AK49" s="8" t="s">
        <v>72</v>
      </c>
      <c r="AL49" s="8" t="s">
        <v>263</v>
      </c>
      <c r="AM49" s="9" t="s">
        <v>83</v>
      </c>
      <c r="AN49" s="51" t="s">
        <v>17</v>
      </c>
      <c r="AO49" s="87">
        <v>3</v>
      </c>
      <c r="AP49" s="69"/>
      <c r="AQ49" s="59">
        <f t="shared" si="102"/>
        <v>0</v>
      </c>
      <c r="AR49" s="59">
        <f t="shared" si="103"/>
        <v>21.24188738817751</v>
      </c>
      <c r="AS49" s="59">
        <f t="shared" si="104"/>
        <v>21.24188738817751</v>
      </c>
      <c r="AT49" s="88">
        <v>0.14019999999999999</v>
      </c>
      <c r="AU49" s="69">
        <v>0</v>
      </c>
      <c r="AV49" s="69">
        <v>24.22</v>
      </c>
      <c r="AW49" s="52">
        <f t="shared" si="105"/>
        <v>24.22</v>
      </c>
      <c r="AX49" s="53">
        <f t="shared" si="106"/>
        <v>0</v>
      </c>
      <c r="AY49" s="53">
        <f t="shared" si="107"/>
        <v>72.66</v>
      </c>
      <c r="AZ49" s="53">
        <f t="shared" si="108"/>
        <v>72.66</v>
      </c>
      <c r="BJ49" s="55">
        <v>1</v>
      </c>
      <c r="BK49" s="97">
        <f t="shared" si="109"/>
        <v>72.66</v>
      </c>
      <c r="BQ49" s="57">
        <f t="shared" si="110"/>
        <v>1</v>
      </c>
      <c r="BR49" s="50">
        <f t="shared" si="95"/>
        <v>72.66</v>
      </c>
      <c r="BS49" s="39" t="str">
        <f t="shared" si="22"/>
        <v>OK</v>
      </c>
    </row>
    <row r="50" spans="1:71" outlineLevel="1" x14ac:dyDescent="0.25">
      <c r="A50" s="8" t="s">
        <v>24</v>
      </c>
      <c r="B50" s="8" t="s">
        <v>73</v>
      </c>
      <c r="C50" s="8" t="s">
        <v>264</v>
      </c>
      <c r="D50" s="9" t="s">
        <v>85</v>
      </c>
      <c r="E50" s="51" t="s">
        <v>9</v>
      </c>
      <c r="F50" s="69">
        <v>1</v>
      </c>
      <c r="G50" s="53">
        <v>516.11</v>
      </c>
      <c r="H50" s="53">
        <v>0</v>
      </c>
      <c r="I50" s="53">
        <f t="shared" si="96"/>
        <v>516.11</v>
      </c>
      <c r="J50" s="53">
        <f t="shared" si="97"/>
        <v>516.11</v>
      </c>
      <c r="K50" s="58">
        <v>0.27760000000000001</v>
      </c>
      <c r="L50" s="53">
        <f t="shared" si="98"/>
        <v>659.38</v>
      </c>
      <c r="M50" s="53">
        <f t="shared" si="98"/>
        <v>0</v>
      </c>
      <c r="N50" s="53">
        <f t="shared" si="99"/>
        <v>659.38</v>
      </c>
      <c r="AB50" s="55">
        <v>1</v>
      </c>
      <c r="AC50" s="56">
        <f t="shared" si="100"/>
        <v>659.38</v>
      </c>
      <c r="AE50" s="57">
        <f t="shared" si="101"/>
        <v>1</v>
      </c>
      <c r="AF50" s="50">
        <f t="shared" si="92"/>
        <v>659.38</v>
      </c>
      <c r="AG50" s="39" t="str">
        <f t="shared" si="93"/>
        <v>OK</v>
      </c>
      <c r="AJ50" s="8" t="s">
        <v>24</v>
      </c>
      <c r="AK50" s="8" t="s">
        <v>73</v>
      </c>
      <c r="AL50" s="8" t="s">
        <v>264</v>
      </c>
      <c r="AM50" s="9" t="s">
        <v>85</v>
      </c>
      <c r="AN50" s="51" t="s">
        <v>9</v>
      </c>
      <c r="AO50" s="87">
        <v>1</v>
      </c>
      <c r="AP50" s="69"/>
      <c r="AQ50" s="59">
        <f t="shared" si="102"/>
        <v>0</v>
      </c>
      <c r="AR50" s="59">
        <f t="shared" si="103"/>
        <v>511.4015085072794</v>
      </c>
      <c r="AS50" s="59">
        <f t="shared" si="104"/>
        <v>511.4015085072794</v>
      </c>
      <c r="AT50" s="88">
        <v>0.14019999999999999</v>
      </c>
      <c r="AU50" s="69">
        <v>0</v>
      </c>
      <c r="AV50" s="69">
        <v>583.1</v>
      </c>
      <c r="AW50" s="52">
        <f t="shared" si="105"/>
        <v>583.1</v>
      </c>
      <c r="AX50" s="53">
        <f t="shared" si="106"/>
        <v>0</v>
      </c>
      <c r="AY50" s="53">
        <f t="shared" si="107"/>
        <v>583.1</v>
      </c>
      <c r="AZ50" s="53">
        <f t="shared" si="108"/>
        <v>583.1</v>
      </c>
      <c r="BJ50" s="55">
        <v>1</v>
      </c>
      <c r="BK50" s="97">
        <f t="shared" si="109"/>
        <v>583.1</v>
      </c>
      <c r="BQ50" s="57">
        <f t="shared" si="110"/>
        <v>1</v>
      </c>
      <c r="BR50" s="50">
        <f t="shared" si="95"/>
        <v>583.1</v>
      </c>
      <c r="BS50" s="39" t="str">
        <f t="shared" si="22"/>
        <v>OK</v>
      </c>
    </row>
    <row r="51" spans="1:71" ht="30" outlineLevel="1" x14ac:dyDescent="0.25">
      <c r="A51" s="8" t="s">
        <v>24</v>
      </c>
      <c r="B51" s="8" t="s">
        <v>74</v>
      </c>
      <c r="C51" s="8" t="s">
        <v>265</v>
      </c>
      <c r="D51" s="9" t="s">
        <v>86</v>
      </c>
      <c r="E51" s="51" t="s">
        <v>9</v>
      </c>
      <c r="F51" s="69">
        <v>2</v>
      </c>
      <c r="G51" s="53">
        <v>20.010000000000002</v>
      </c>
      <c r="H51" s="53">
        <v>0</v>
      </c>
      <c r="I51" s="53">
        <f t="shared" si="96"/>
        <v>20.010000000000002</v>
      </c>
      <c r="J51" s="53">
        <f t="shared" si="97"/>
        <v>40.020000000000003</v>
      </c>
      <c r="K51" s="58">
        <v>0.27760000000000001</v>
      </c>
      <c r="L51" s="53">
        <f t="shared" si="98"/>
        <v>51.12</v>
      </c>
      <c r="M51" s="53">
        <f t="shared" si="98"/>
        <v>0</v>
      </c>
      <c r="N51" s="53">
        <f t="shared" si="99"/>
        <v>51.12</v>
      </c>
      <c r="AB51" s="55">
        <v>1</v>
      </c>
      <c r="AC51" s="56">
        <f t="shared" si="100"/>
        <v>51.12</v>
      </c>
      <c r="AE51" s="57">
        <f t="shared" si="101"/>
        <v>1</v>
      </c>
      <c r="AF51" s="50">
        <f t="shared" si="92"/>
        <v>51.12</v>
      </c>
      <c r="AG51" s="39" t="str">
        <f t="shared" si="93"/>
        <v>OK</v>
      </c>
      <c r="AJ51" s="8" t="s">
        <v>24</v>
      </c>
      <c r="AK51" s="8" t="s">
        <v>74</v>
      </c>
      <c r="AL51" s="8" t="s">
        <v>265</v>
      </c>
      <c r="AM51" s="9" t="s">
        <v>86</v>
      </c>
      <c r="AN51" s="51" t="s">
        <v>9</v>
      </c>
      <c r="AO51" s="87">
        <v>2</v>
      </c>
      <c r="AP51" s="69"/>
      <c r="AQ51" s="59">
        <f t="shared" si="102"/>
        <v>0</v>
      </c>
      <c r="AR51" s="59">
        <f t="shared" si="103"/>
        <v>20.005262234695664</v>
      </c>
      <c r="AS51" s="59">
        <f t="shared" si="104"/>
        <v>20.005262234695664</v>
      </c>
      <c r="AT51" s="88">
        <v>0.14019999999999999</v>
      </c>
      <c r="AU51" s="69">
        <v>0</v>
      </c>
      <c r="AV51" s="69">
        <v>22.81</v>
      </c>
      <c r="AW51" s="52">
        <f t="shared" si="105"/>
        <v>22.81</v>
      </c>
      <c r="AX51" s="53">
        <f t="shared" si="106"/>
        <v>0</v>
      </c>
      <c r="AY51" s="53">
        <f t="shared" si="107"/>
        <v>45.62</v>
      </c>
      <c r="AZ51" s="53">
        <f t="shared" si="108"/>
        <v>45.62</v>
      </c>
      <c r="BJ51" s="55">
        <v>1</v>
      </c>
      <c r="BK51" s="97">
        <f t="shared" si="109"/>
        <v>45.62</v>
      </c>
      <c r="BQ51" s="57">
        <f t="shared" si="110"/>
        <v>1</v>
      </c>
      <c r="BR51" s="50">
        <f t="shared" si="95"/>
        <v>45.62</v>
      </c>
      <c r="BS51" s="39" t="str">
        <f t="shared" si="22"/>
        <v>OK</v>
      </c>
    </row>
    <row r="52" spans="1:71" ht="30" outlineLevel="1" x14ac:dyDescent="0.25">
      <c r="A52" s="8" t="s">
        <v>24</v>
      </c>
      <c r="B52" s="8" t="s">
        <v>75</v>
      </c>
      <c r="C52" s="8" t="s">
        <v>266</v>
      </c>
      <c r="D52" s="9" t="s">
        <v>88</v>
      </c>
      <c r="E52" s="51" t="s">
        <v>9</v>
      </c>
      <c r="F52" s="69">
        <f>3*2</f>
        <v>6</v>
      </c>
      <c r="G52" s="53">
        <v>21.49</v>
      </c>
      <c r="H52" s="53">
        <v>26.06</v>
      </c>
      <c r="I52" s="53">
        <f t="shared" si="96"/>
        <v>47.55</v>
      </c>
      <c r="J52" s="53">
        <f t="shared" si="97"/>
        <v>285.3</v>
      </c>
      <c r="K52" s="58">
        <v>0.27760000000000001</v>
      </c>
      <c r="L52" s="53">
        <f t="shared" si="98"/>
        <v>164.73</v>
      </c>
      <c r="M52" s="53">
        <f t="shared" si="98"/>
        <v>199.76</v>
      </c>
      <c r="N52" s="53">
        <f t="shared" si="99"/>
        <v>364.49</v>
      </c>
      <c r="AB52" s="55">
        <v>1</v>
      </c>
      <c r="AC52" s="56">
        <f t="shared" si="100"/>
        <v>364.49</v>
      </c>
      <c r="AE52" s="57">
        <f t="shared" si="101"/>
        <v>1</v>
      </c>
      <c r="AF52" s="50">
        <f t="shared" si="92"/>
        <v>364.49</v>
      </c>
      <c r="AG52" s="39" t="str">
        <f t="shared" si="93"/>
        <v>OK</v>
      </c>
      <c r="AJ52" s="8" t="s">
        <v>24</v>
      </c>
      <c r="AK52" s="8" t="s">
        <v>75</v>
      </c>
      <c r="AL52" s="8" t="s">
        <v>266</v>
      </c>
      <c r="AM52" s="9" t="s">
        <v>88</v>
      </c>
      <c r="AN52" s="51" t="s">
        <v>9</v>
      </c>
      <c r="AO52" s="87">
        <f>3*2</f>
        <v>6</v>
      </c>
      <c r="AP52" s="69"/>
      <c r="AQ52" s="59">
        <f t="shared" si="102"/>
        <v>10.270128047710928</v>
      </c>
      <c r="AR52" s="59">
        <f t="shared" si="103"/>
        <v>14.576390106998772</v>
      </c>
      <c r="AS52" s="59">
        <f t="shared" si="104"/>
        <v>24.846518154709699</v>
      </c>
      <c r="AT52" s="88">
        <v>0.14019999999999999</v>
      </c>
      <c r="AU52" s="69">
        <v>11.71</v>
      </c>
      <c r="AV52" s="69">
        <v>16.62</v>
      </c>
      <c r="AW52" s="52">
        <f t="shared" si="105"/>
        <v>28.330000000000002</v>
      </c>
      <c r="AX52" s="53">
        <f t="shared" si="106"/>
        <v>70.260000000000005</v>
      </c>
      <c r="AY52" s="53">
        <f t="shared" si="107"/>
        <v>99.72</v>
      </c>
      <c r="AZ52" s="53">
        <f t="shared" si="108"/>
        <v>169.98000000000002</v>
      </c>
      <c r="BJ52" s="55">
        <v>1</v>
      </c>
      <c r="BK52" s="97">
        <f t="shared" si="109"/>
        <v>169.98000000000002</v>
      </c>
      <c r="BQ52" s="57">
        <f t="shared" si="110"/>
        <v>1</v>
      </c>
      <c r="BR52" s="50">
        <f t="shared" si="95"/>
        <v>169.98000000000002</v>
      </c>
      <c r="BS52" s="39" t="str">
        <f t="shared" si="22"/>
        <v>OK</v>
      </c>
    </row>
    <row r="53" spans="1:71" ht="30" outlineLevel="1" x14ac:dyDescent="0.25">
      <c r="A53" s="8" t="s">
        <v>24</v>
      </c>
      <c r="B53" s="8" t="s">
        <v>76</v>
      </c>
      <c r="C53" s="8" t="s">
        <v>267</v>
      </c>
      <c r="D53" s="9" t="s">
        <v>89</v>
      </c>
      <c r="E53" s="51" t="s">
        <v>9</v>
      </c>
      <c r="F53" s="69">
        <v>2</v>
      </c>
      <c r="G53" s="53">
        <v>9.5500000000000007</v>
      </c>
      <c r="H53" s="53">
        <v>8.51</v>
      </c>
      <c r="I53" s="53">
        <f t="shared" si="96"/>
        <v>18.060000000000002</v>
      </c>
      <c r="J53" s="53">
        <f t="shared" si="97"/>
        <v>36.119999999999997</v>
      </c>
      <c r="K53" s="58">
        <v>0.27760000000000001</v>
      </c>
      <c r="L53" s="53">
        <f t="shared" si="98"/>
        <v>24.4</v>
      </c>
      <c r="M53" s="53">
        <f t="shared" si="98"/>
        <v>21.74</v>
      </c>
      <c r="N53" s="53">
        <f t="shared" si="99"/>
        <v>46.14</v>
      </c>
      <c r="AB53" s="55">
        <v>1</v>
      </c>
      <c r="AC53" s="56">
        <f t="shared" si="100"/>
        <v>46.14</v>
      </c>
      <c r="AE53" s="57">
        <f t="shared" si="101"/>
        <v>1</v>
      </c>
      <c r="AF53" s="50">
        <f t="shared" si="92"/>
        <v>46.14</v>
      </c>
      <c r="AG53" s="39" t="str">
        <f t="shared" si="93"/>
        <v>OK</v>
      </c>
      <c r="AJ53" s="8" t="s">
        <v>24</v>
      </c>
      <c r="AK53" s="8" t="s">
        <v>76</v>
      </c>
      <c r="AL53" s="8" t="s">
        <v>267</v>
      </c>
      <c r="AM53" s="9" t="s">
        <v>89</v>
      </c>
      <c r="AN53" s="51" t="s">
        <v>9</v>
      </c>
      <c r="AO53" s="87">
        <v>2</v>
      </c>
      <c r="AP53" s="69"/>
      <c r="AQ53" s="59">
        <f t="shared" si="102"/>
        <v>10.270128047710928</v>
      </c>
      <c r="AR53" s="59">
        <f t="shared" si="103"/>
        <v>9.7439045781441838</v>
      </c>
      <c r="AS53" s="59">
        <f t="shared" si="104"/>
        <v>20.014032625855112</v>
      </c>
      <c r="AT53" s="88">
        <v>0.14019999999999999</v>
      </c>
      <c r="AU53" s="69">
        <v>11.71</v>
      </c>
      <c r="AV53" s="69">
        <v>11.11</v>
      </c>
      <c r="AW53" s="52">
        <f t="shared" si="105"/>
        <v>22.82</v>
      </c>
      <c r="AX53" s="53">
        <f t="shared" si="106"/>
        <v>23.42</v>
      </c>
      <c r="AY53" s="53">
        <f t="shared" si="107"/>
        <v>22.22</v>
      </c>
      <c r="AZ53" s="53">
        <f t="shared" si="108"/>
        <v>45.64</v>
      </c>
      <c r="BJ53" s="55">
        <v>1</v>
      </c>
      <c r="BK53" s="97">
        <f t="shared" si="109"/>
        <v>45.64</v>
      </c>
      <c r="BQ53" s="57">
        <f t="shared" si="110"/>
        <v>1</v>
      </c>
      <c r="BR53" s="50">
        <f t="shared" si="95"/>
        <v>45.64</v>
      </c>
      <c r="BS53" s="39" t="str">
        <f t="shared" si="22"/>
        <v>OK</v>
      </c>
    </row>
    <row r="54" spans="1:71" ht="30" outlineLevel="1" x14ac:dyDescent="0.25">
      <c r="A54" s="8" t="s">
        <v>24</v>
      </c>
      <c r="B54" s="8" t="s">
        <v>77</v>
      </c>
      <c r="C54" s="8" t="s">
        <v>268</v>
      </c>
      <c r="D54" s="67" t="s">
        <v>90</v>
      </c>
      <c r="E54" s="51" t="s">
        <v>9</v>
      </c>
      <c r="F54" s="69">
        <v>1</v>
      </c>
      <c r="G54" s="53">
        <f>2.94+189.31+0.49</f>
        <v>192.74</v>
      </c>
      <c r="H54" s="53">
        <v>157.04</v>
      </c>
      <c r="I54" s="53">
        <f t="shared" si="96"/>
        <v>349.78</v>
      </c>
      <c r="J54" s="53">
        <f t="shared" si="97"/>
        <v>349.78</v>
      </c>
      <c r="K54" s="58">
        <v>0.27760000000000001</v>
      </c>
      <c r="L54" s="53">
        <f t="shared" si="98"/>
        <v>246.24</v>
      </c>
      <c r="M54" s="53">
        <f t="shared" si="98"/>
        <v>200.63</v>
      </c>
      <c r="N54" s="53">
        <f t="shared" si="99"/>
        <v>446.87</v>
      </c>
      <c r="AB54" s="55">
        <v>1</v>
      </c>
      <c r="AC54" s="56">
        <f t="shared" si="100"/>
        <v>446.87</v>
      </c>
      <c r="AE54" s="57">
        <f t="shared" si="101"/>
        <v>1</v>
      </c>
      <c r="AF54" s="50">
        <f t="shared" si="92"/>
        <v>446.87</v>
      </c>
      <c r="AG54" s="39" t="str">
        <f t="shared" si="93"/>
        <v>OK</v>
      </c>
      <c r="AJ54" s="8" t="s">
        <v>24</v>
      </c>
      <c r="AK54" s="8" t="s">
        <v>77</v>
      </c>
      <c r="AL54" s="8" t="s">
        <v>268</v>
      </c>
      <c r="AM54" s="67" t="s">
        <v>90</v>
      </c>
      <c r="AN54" s="51" t="s">
        <v>9</v>
      </c>
      <c r="AO54" s="87">
        <v>1</v>
      </c>
      <c r="AP54" s="69"/>
      <c r="AQ54" s="59">
        <f t="shared" si="102"/>
        <v>187.45834064199263</v>
      </c>
      <c r="AR54" s="59">
        <f t="shared" si="103"/>
        <v>195.46570777056655</v>
      </c>
      <c r="AS54" s="59">
        <f t="shared" si="104"/>
        <v>382.92404841255916</v>
      </c>
      <c r="AT54" s="88">
        <v>0.14019999999999999</v>
      </c>
      <c r="AU54" s="69">
        <v>213.74</v>
      </c>
      <c r="AV54" s="69">
        <v>222.87</v>
      </c>
      <c r="AW54" s="52">
        <f t="shared" si="105"/>
        <v>436.61</v>
      </c>
      <c r="AX54" s="53">
        <f t="shared" si="106"/>
        <v>213.74</v>
      </c>
      <c r="AY54" s="53">
        <f t="shared" si="107"/>
        <v>222.87</v>
      </c>
      <c r="AZ54" s="53">
        <f t="shared" si="108"/>
        <v>436.61</v>
      </c>
      <c r="BJ54" s="55">
        <v>1</v>
      </c>
      <c r="BK54" s="97">
        <f t="shared" si="109"/>
        <v>436.61</v>
      </c>
      <c r="BQ54" s="57">
        <f t="shared" si="110"/>
        <v>1</v>
      </c>
      <c r="BR54" s="50">
        <f t="shared" si="95"/>
        <v>436.61</v>
      </c>
      <c r="BS54" s="39" t="str">
        <f t="shared" si="22"/>
        <v>OK</v>
      </c>
    </row>
    <row r="55" spans="1:71" ht="30" outlineLevel="1" x14ac:dyDescent="0.25">
      <c r="A55" s="8" t="s">
        <v>24</v>
      </c>
      <c r="B55" s="8" t="s">
        <v>78</v>
      </c>
      <c r="C55" s="8" t="s">
        <v>269</v>
      </c>
      <c r="D55" s="9" t="s">
        <v>91</v>
      </c>
      <c r="E55" s="51" t="s">
        <v>17</v>
      </c>
      <c r="F55" s="69">
        <v>2</v>
      </c>
      <c r="G55" s="53">
        <v>14.8</v>
      </c>
      <c r="H55" s="53">
        <v>17.02</v>
      </c>
      <c r="I55" s="53">
        <f t="shared" si="96"/>
        <v>31.82</v>
      </c>
      <c r="J55" s="53">
        <f t="shared" si="97"/>
        <v>63.64</v>
      </c>
      <c r="K55" s="58">
        <v>0.27760000000000001</v>
      </c>
      <c r="L55" s="53">
        <f t="shared" si="98"/>
        <v>37.81</v>
      </c>
      <c r="M55" s="53">
        <f t="shared" si="98"/>
        <v>43.48</v>
      </c>
      <c r="N55" s="53">
        <f t="shared" si="99"/>
        <v>81.289999999999992</v>
      </c>
      <c r="AB55" s="55">
        <v>1</v>
      </c>
      <c r="AC55" s="56">
        <f t="shared" si="100"/>
        <v>81.289999999999992</v>
      </c>
      <c r="AE55" s="57">
        <f t="shared" si="101"/>
        <v>1</v>
      </c>
      <c r="AF55" s="50">
        <f t="shared" si="92"/>
        <v>81.289999999999992</v>
      </c>
      <c r="AG55" s="39" t="str">
        <f t="shared" si="93"/>
        <v>OK</v>
      </c>
      <c r="AJ55" s="8" t="s">
        <v>24</v>
      </c>
      <c r="AK55" s="8" t="s">
        <v>78</v>
      </c>
      <c r="AL55" s="8" t="s">
        <v>269</v>
      </c>
      <c r="AM55" s="9" t="s">
        <v>91</v>
      </c>
      <c r="AN55" s="51" t="s">
        <v>17</v>
      </c>
      <c r="AO55" s="87">
        <v>2</v>
      </c>
      <c r="AP55" s="69"/>
      <c r="AQ55" s="59">
        <f t="shared" si="102"/>
        <v>20.557796877740746</v>
      </c>
      <c r="AR55" s="59">
        <f t="shared" si="103"/>
        <v>14.935976144536045</v>
      </c>
      <c r="AS55" s="59">
        <f t="shared" si="104"/>
        <v>35.493773022276791</v>
      </c>
      <c r="AT55" s="88">
        <v>0.14019999999999999</v>
      </c>
      <c r="AU55" s="69">
        <v>23.44</v>
      </c>
      <c r="AV55" s="69">
        <v>17.03</v>
      </c>
      <c r="AW55" s="52">
        <f t="shared" si="105"/>
        <v>40.47</v>
      </c>
      <c r="AX55" s="53">
        <f t="shared" si="106"/>
        <v>46.88</v>
      </c>
      <c r="AY55" s="53">
        <f t="shared" si="107"/>
        <v>34.06</v>
      </c>
      <c r="AZ55" s="53">
        <f t="shared" si="108"/>
        <v>80.94</v>
      </c>
      <c r="BJ55" s="55">
        <v>1</v>
      </c>
      <c r="BK55" s="97">
        <f t="shared" si="109"/>
        <v>80.94</v>
      </c>
      <c r="BQ55" s="57">
        <f t="shared" si="110"/>
        <v>1</v>
      </c>
      <c r="BR55" s="50">
        <f t="shared" si="95"/>
        <v>80.94</v>
      </c>
      <c r="BS55" s="39" t="str">
        <f t="shared" si="22"/>
        <v>OK</v>
      </c>
    </row>
    <row r="56" spans="1:71" ht="30" outlineLevel="1" x14ac:dyDescent="0.25">
      <c r="A56" s="8" t="s">
        <v>24</v>
      </c>
      <c r="B56" s="8" t="s">
        <v>79</v>
      </c>
      <c r="C56" s="8" t="s">
        <v>256</v>
      </c>
      <c r="D56" s="9" t="s">
        <v>260</v>
      </c>
      <c r="E56" s="8" t="s">
        <v>69</v>
      </c>
      <c r="F56" s="59">
        <v>8</v>
      </c>
      <c r="G56" s="53">
        <v>4.5599999999999996</v>
      </c>
      <c r="H56" s="53">
        <v>12.49</v>
      </c>
      <c r="I56" s="53">
        <f t="shared" si="96"/>
        <v>17.05</v>
      </c>
      <c r="J56" s="53">
        <f t="shared" si="97"/>
        <v>136.4</v>
      </c>
      <c r="K56" s="58">
        <v>0.27760000000000001</v>
      </c>
      <c r="L56" s="53">
        <f t="shared" si="98"/>
        <v>46.6</v>
      </c>
      <c r="M56" s="53">
        <f t="shared" si="98"/>
        <v>127.65</v>
      </c>
      <c r="N56" s="53">
        <f t="shared" si="99"/>
        <v>174.25</v>
      </c>
      <c r="AB56" s="55">
        <v>1</v>
      </c>
      <c r="AC56" s="56">
        <f t="shared" si="100"/>
        <v>174.25</v>
      </c>
      <c r="AE56" s="57">
        <f t="shared" si="101"/>
        <v>1</v>
      </c>
      <c r="AF56" s="50">
        <f t="shared" si="92"/>
        <v>174.25</v>
      </c>
      <c r="AG56" s="39" t="str">
        <f t="shared" si="93"/>
        <v>OK</v>
      </c>
      <c r="AJ56" s="8" t="s">
        <v>24</v>
      </c>
      <c r="AK56" s="8" t="s">
        <v>79</v>
      </c>
      <c r="AL56" s="8" t="s">
        <v>256</v>
      </c>
      <c r="AM56" s="9" t="s">
        <v>260</v>
      </c>
      <c r="AN56" s="8" t="s">
        <v>69</v>
      </c>
      <c r="AO56" s="85">
        <v>8</v>
      </c>
      <c r="AP56" s="59"/>
      <c r="AQ56" s="59">
        <f t="shared" si="102"/>
        <v>15.093843185406069</v>
      </c>
      <c r="AR56" s="59">
        <f t="shared" si="103"/>
        <v>4.7974039642168034</v>
      </c>
      <c r="AS56" s="59">
        <f t="shared" si="104"/>
        <v>19.89124714962287</v>
      </c>
      <c r="AT56" s="88">
        <v>0.14019999999999999</v>
      </c>
      <c r="AU56" s="59">
        <v>17.21</v>
      </c>
      <c r="AV56" s="59">
        <v>5.47</v>
      </c>
      <c r="AW56" s="52">
        <f t="shared" si="105"/>
        <v>22.68</v>
      </c>
      <c r="AX56" s="53">
        <f t="shared" si="106"/>
        <v>137.68</v>
      </c>
      <c r="AY56" s="53">
        <f t="shared" si="107"/>
        <v>43.76</v>
      </c>
      <c r="AZ56" s="53">
        <f t="shared" si="108"/>
        <v>181.44</v>
      </c>
      <c r="BJ56" s="55">
        <v>1</v>
      </c>
      <c r="BK56" s="97">
        <f t="shared" si="109"/>
        <v>181.44</v>
      </c>
      <c r="BQ56" s="57">
        <f t="shared" si="110"/>
        <v>1</v>
      </c>
      <c r="BR56" s="50">
        <f t="shared" si="95"/>
        <v>181.44</v>
      </c>
      <c r="BS56" s="39" t="str">
        <f t="shared" si="22"/>
        <v>OK</v>
      </c>
    </row>
    <row r="57" spans="1:71" outlineLevel="1" x14ac:dyDescent="0.25">
      <c r="A57" s="8" t="s">
        <v>24</v>
      </c>
      <c r="B57" s="8" t="s">
        <v>80</v>
      </c>
      <c r="C57" s="8" t="s">
        <v>270</v>
      </c>
      <c r="D57" s="9" t="s">
        <v>87</v>
      </c>
      <c r="E57" s="51" t="s">
        <v>69</v>
      </c>
      <c r="F57" s="69">
        <v>8</v>
      </c>
      <c r="G57" s="53">
        <v>4.5599999999999996</v>
      </c>
      <c r="H57" s="53">
        <v>8.77</v>
      </c>
      <c r="I57" s="53">
        <f t="shared" si="96"/>
        <v>13.329999999999998</v>
      </c>
      <c r="J57" s="53">
        <f t="shared" si="97"/>
        <v>106.64</v>
      </c>
      <c r="K57" s="58">
        <v>0.27760000000000001</v>
      </c>
      <c r="L57" s="53">
        <f t="shared" si="98"/>
        <v>46.6</v>
      </c>
      <c r="M57" s="53">
        <f t="shared" si="98"/>
        <v>89.63</v>
      </c>
      <c r="N57" s="53">
        <f t="shared" si="99"/>
        <v>136.22999999999999</v>
      </c>
      <c r="AB57" s="55">
        <v>1</v>
      </c>
      <c r="AC57" s="56">
        <f t="shared" si="100"/>
        <v>136.22999999999999</v>
      </c>
      <c r="AE57" s="57">
        <f t="shared" si="101"/>
        <v>1</v>
      </c>
      <c r="AF57" s="50">
        <f t="shared" si="92"/>
        <v>136.22999999999999</v>
      </c>
      <c r="AG57" s="39" t="str">
        <f t="shared" si="93"/>
        <v>OK</v>
      </c>
      <c r="AJ57" s="8" t="s">
        <v>24</v>
      </c>
      <c r="AK57" s="8" t="s">
        <v>80</v>
      </c>
      <c r="AL57" s="8" t="s">
        <v>270</v>
      </c>
      <c r="AM57" s="9" t="s">
        <v>87</v>
      </c>
      <c r="AN57" s="51" t="s">
        <v>69</v>
      </c>
      <c r="AO57" s="87">
        <v>8</v>
      </c>
      <c r="AP57" s="69"/>
      <c r="AQ57" s="59">
        <f t="shared" si="102"/>
        <v>10.612173302929309</v>
      </c>
      <c r="AR57" s="59">
        <f t="shared" si="103"/>
        <v>4.7974039642168034</v>
      </c>
      <c r="AS57" s="59">
        <f t="shared" si="104"/>
        <v>15.409577267146114</v>
      </c>
      <c r="AT57" s="88">
        <v>0.14019999999999999</v>
      </c>
      <c r="AU57" s="69">
        <v>12.1</v>
      </c>
      <c r="AV57" s="69">
        <v>5.47</v>
      </c>
      <c r="AW57" s="52">
        <f t="shared" si="105"/>
        <v>17.57</v>
      </c>
      <c r="AX57" s="53">
        <f t="shared" si="106"/>
        <v>96.8</v>
      </c>
      <c r="AY57" s="53">
        <f t="shared" si="107"/>
        <v>43.76</v>
      </c>
      <c r="AZ57" s="53">
        <f t="shared" si="108"/>
        <v>140.56</v>
      </c>
      <c r="BJ57" s="55">
        <v>1</v>
      </c>
      <c r="BK57" s="97">
        <f t="shared" si="109"/>
        <v>140.56</v>
      </c>
      <c r="BQ57" s="57">
        <f t="shared" si="110"/>
        <v>1</v>
      </c>
      <c r="BR57" s="50">
        <f t="shared" si="95"/>
        <v>140.56</v>
      </c>
      <c r="BS57" s="39" t="str">
        <f t="shared" si="22"/>
        <v>OK</v>
      </c>
    </row>
    <row r="58" spans="1:71" x14ac:dyDescent="0.25">
      <c r="D58" s="65"/>
      <c r="AM58" s="65"/>
    </row>
    <row r="59" spans="1:71" x14ac:dyDescent="0.25">
      <c r="A59" s="4" t="s">
        <v>92</v>
      </c>
      <c r="B59" s="5"/>
      <c r="C59" s="5"/>
      <c r="D59" s="18"/>
      <c r="E59" s="5"/>
      <c r="F59" s="6"/>
      <c r="G59" s="6"/>
      <c r="H59" s="6"/>
      <c r="I59" s="7"/>
      <c r="J59" s="7"/>
      <c r="K59" s="7"/>
      <c r="L59" s="7"/>
      <c r="M59" s="7"/>
      <c r="N59" s="7" t="e">
        <f>SUM(N60:N78)</f>
        <v>#REF!</v>
      </c>
      <c r="P59" s="48" t="e">
        <f>N59/$N$170</f>
        <v>#REF!</v>
      </c>
      <c r="Q59" s="48"/>
      <c r="T59" s="49" t="e">
        <f>U59/$N$170</f>
        <v>#REF!</v>
      </c>
      <c r="U59" s="47">
        <f>SUM(U60:U78)</f>
        <v>0</v>
      </c>
      <c r="V59" s="49" t="e">
        <f>W59/$N$170</f>
        <v>#REF!</v>
      </c>
      <c r="W59" s="47">
        <f>SUM(W60:W78)</f>
        <v>0</v>
      </c>
      <c r="X59" s="49" t="e">
        <f>Y59/$N$170</f>
        <v>#REF!</v>
      </c>
      <c r="Y59" s="47">
        <f>SUM(Y60:Y78)</f>
        <v>0</v>
      </c>
      <c r="Z59" s="49" t="e">
        <f>AA59/$N$170</f>
        <v>#REF!</v>
      </c>
      <c r="AA59" s="47" t="e">
        <f>SUM(AA60:AA78)</f>
        <v>#REF!</v>
      </c>
      <c r="AB59" s="49" t="e">
        <f>AC59/$N$170</f>
        <v>#REF!</v>
      </c>
      <c r="AC59" s="47" t="e">
        <f>SUM(AC60:AC78)</f>
        <v>#REF!</v>
      </c>
      <c r="AE59" s="43"/>
      <c r="AF59" s="50" t="e">
        <f t="shared" ref="AF59:AF78" si="111">SUM(U59,Y59,AA59,AC59)</f>
        <v>#REF!</v>
      </c>
      <c r="AG59" s="39" t="e">
        <f t="shared" ref="AG59:AG78" si="112">IF(AF59=N59,"OK","VERIFICAR")</f>
        <v>#REF!</v>
      </c>
      <c r="AJ59" s="4" t="s">
        <v>92</v>
      </c>
      <c r="AK59" s="5"/>
      <c r="AL59" s="5"/>
      <c r="AM59" s="18"/>
      <c r="AN59" s="5"/>
      <c r="AO59" s="6"/>
      <c r="AP59" s="90"/>
      <c r="AQ59" s="90"/>
      <c r="AR59" s="90"/>
      <c r="AS59" s="90"/>
      <c r="AT59" s="7"/>
      <c r="AU59" s="90"/>
      <c r="AV59" s="90"/>
      <c r="AW59" s="90"/>
      <c r="AX59" s="47">
        <f t="shared" ref="AX59:AY59" si="113">SUM(AX60:AX78)</f>
        <v>1051.1200000000001</v>
      </c>
      <c r="AY59" s="47">
        <f t="shared" si="113"/>
        <v>6826.36</v>
      </c>
      <c r="AZ59" s="47">
        <f>SUM(AZ60:AZ78)</f>
        <v>7877.48</v>
      </c>
      <c r="BB59" s="48" t="e">
        <f>#REF!/$N$170</f>
        <v>#REF!</v>
      </c>
      <c r="BC59" s="48"/>
      <c r="BF59" s="49" t="e">
        <f>BG59/$N$170</f>
        <v>#REF!</v>
      </c>
      <c r="BG59" s="47">
        <f>SUM(BG60:BG78)</f>
        <v>0</v>
      </c>
      <c r="BH59" s="49" t="e">
        <f>BI59/$N$170</f>
        <v>#REF!</v>
      </c>
      <c r="BI59" s="47">
        <f>SUM(BI60:BI78)</f>
        <v>0</v>
      </c>
      <c r="BJ59" s="49" t="e">
        <f>BK59/$N$170</f>
        <v>#REF!</v>
      </c>
      <c r="BK59" s="47">
        <f>SUM(BK60:BK78)</f>
        <v>7877.48</v>
      </c>
      <c r="BL59" s="49" t="e">
        <f>BM59/$N$170</f>
        <v>#REF!</v>
      </c>
      <c r="BM59" s="47">
        <f>SUM(BM60:BM78)</f>
        <v>0</v>
      </c>
      <c r="BN59" s="49" t="e">
        <f>BO59/$N$170</f>
        <v>#REF!</v>
      </c>
      <c r="BO59" s="47">
        <f>SUM(BO60:BO78)</f>
        <v>0</v>
      </c>
      <c r="BQ59" s="43"/>
      <c r="BR59" s="50">
        <f t="shared" ref="BR59:BR78" si="114">SUM(BG59,BK59,BM59,BO59)</f>
        <v>7877.48</v>
      </c>
      <c r="BS59" s="39" t="str">
        <f t="shared" si="22"/>
        <v>OK</v>
      </c>
    </row>
    <row r="60" spans="1:71" outlineLevel="1" x14ac:dyDescent="0.25">
      <c r="A60" s="8" t="s">
        <v>24</v>
      </c>
      <c r="B60" s="8" t="s">
        <v>93</v>
      </c>
      <c r="C60" s="8" t="s">
        <v>264</v>
      </c>
      <c r="D60" s="9" t="s">
        <v>85</v>
      </c>
      <c r="E60" s="51" t="s">
        <v>9</v>
      </c>
      <c r="F60" s="69">
        <v>1</v>
      </c>
      <c r="G60" s="53">
        <v>516.11</v>
      </c>
      <c r="H60" s="53">
        <v>0</v>
      </c>
      <c r="I60" s="53">
        <f t="shared" ref="I60:I78" si="115">G60+H60</f>
        <v>516.11</v>
      </c>
      <c r="J60" s="53">
        <f t="shared" ref="J60:J78" si="116">TRUNC(I60*F60,2)</f>
        <v>516.11</v>
      </c>
      <c r="K60" s="58">
        <v>0.27760000000000001</v>
      </c>
      <c r="L60" s="53">
        <f t="shared" ref="L60:M75" si="117">TRUNC($F60*G60*(1+$K60),2)</f>
        <v>659.38</v>
      </c>
      <c r="M60" s="53">
        <f t="shared" si="117"/>
        <v>0</v>
      </c>
      <c r="N60" s="53">
        <f t="shared" ref="N60:N78" si="118">M60+L60</f>
        <v>659.38</v>
      </c>
      <c r="Z60" s="55">
        <v>0.25</v>
      </c>
      <c r="AA60" s="56">
        <f t="shared" ref="AA60:AA78" si="119">Z60*$N60</f>
        <v>164.845</v>
      </c>
      <c r="AB60" s="55">
        <v>0.75</v>
      </c>
      <c r="AC60" s="56">
        <f t="shared" ref="AC60:AC78" si="120">AB60*$N60</f>
        <v>494.53499999999997</v>
      </c>
      <c r="AE60" s="57">
        <f t="shared" ref="AE60:AE78" si="121">SUM(T60,X60,Z60,AB60)</f>
        <v>1</v>
      </c>
      <c r="AF60" s="50">
        <f t="shared" si="111"/>
        <v>659.38</v>
      </c>
      <c r="AG60" s="39" t="str">
        <f t="shared" si="112"/>
        <v>OK</v>
      </c>
      <c r="AJ60" s="8" t="s">
        <v>24</v>
      </c>
      <c r="AK60" s="8" t="s">
        <v>93</v>
      </c>
      <c r="AL60" s="8" t="s">
        <v>264</v>
      </c>
      <c r="AM60" s="9" t="s">
        <v>85</v>
      </c>
      <c r="AN60" s="51" t="s">
        <v>9</v>
      </c>
      <c r="AO60" s="87">
        <v>1</v>
      </c>
      <c r="AP60" s="69"/>
      <c r="AQ60" s="59">
        <f t="shared" ref="AQ60:AQ78" si="122">AU60/(1+$AT60)</f>
        <v>0</v>
      </c>
      <c r="AR60" s="59">
        <f t="shared" ref="AR60:AR78" si="123">AV60/(1+$AT60)</f>
        <v>511.4015085072794</v>
      </c>
      <c r="AS60" s="59">
        <f t="shared" ref="AS60:AS78" si="124">AW60/(1+$AT60)</f>
        <v>511.4015085072794</v>
      </c>
      <c r="AT60" s="88">
        <v>0.14019999999999999</v>
      </c>
      <c r="AU60" s="69">
        <v>0</v>
      </c>
      <c r="AV60" s="69">
        <v>583.1</v>
      </c>
      <c r="AW60" s="52">
        <f t="shared" ref="AW60:AW78" si="125">AU60+AV60</f>
        <v>583.1</v>
      </c>
      <c r="AX60" s="53">
        <f t="shared" ref="AX60:AX78" si="126">$AO60*AU60</f>
        <v>0</v>
      </c>
      <c r="AY60" s="53">
        <f t="shared" ref="AY60:AY78" si="127">$AO60*AV60</f>
        <v>583.1</v>
      </c>
      <c r="AZ60" s="53">
        <f t="shared" ref="AZ60:AZ78" si="128">$AO60*AW60</f>
        <v>583.1</v>
      </c>
      <c r="BJ60" s="55">
        <v>1</v>
      </c>
      <c r="BK60" s="97">
        <f t="shared" ref="BK60" si="129">BJ60*$AZ60</f>
        <v>583.1</v>
      </c>
      <c r="BQ60" s="57">
        <f t="shared" ref="BQ60:BQ78" si="130">SUM(BF60,BJ60,BL60,BN60)</f>
        <v>1</v>
      </c>
      <c r="BR60" s="50">
        <f t="shared" si="114"/>
        <v>583.1</v>
      </c>
      <c r="BS60" s="39" t="str">
        <f t="shared" si="22"/>
        <v>OK</v>
      </c>
    </row>
    <row r="61" spans="1:71" ht="30" outlineLevel="1" x14ac:dyDescent="0.25">
      <c r="A61" s="8" t="s">
        <v>24</v>
      </c>
      <c r="B61" s="8" t="s">
        <v>94</v>
      </c>
      <c r="C61" s="8" t="s">
        <v>271</v>
      </c>
      <c r="D61" s="9" t="s">
        <v>95</v>
      </c>
      <c r="E61" s="51" t="s">
        <v>9</v>
      </c>
      <c r="F61" s="69">
        <v>1</v>
      </c>
      <c r="G61" s="53">
        <v>107.32</v>
      </c>
      <c r="H61" s="53">
        <v>8.49</v>
      </c>
      <c r="I61" s="53">
        <f t="shared" si="115"/>
        <v>115.80999999999999</v>
      </c>
      <c r="J61" s="53">
        <f t="shared" si="116"/>
        <v>115.81</v>
      </c>
      <c r="K61" s="58">
        <v>0.27760000000000001</v>
      </c>
      <c r="L61" s="53">
        <f t="shared" si="117"/>
        <v>137.11000000000001</v>
      </c>
      <c r="M61" s="53">
        <f t="shared" si="117"/>
        <v>10.84</v>
      </c>
      <c r="N61" s="53">
        <f t="shared" si="118"/>
        <v>147.95000000000002</v>
      </c>
      <c r="Z61" s="55">
        <v>0.25</v>
      </c>
      <c r="AA61" s="56">
        <f t="shared" si="119"/>
        <v>36.987500000000004</v>
      </c>
      <c r="AB61" s="55">
        <v>0.75</v>
      </c>
      <c r="AC61" s="56">
        <f t="shared" si="120"/>
        <v>110.96250000000001</v>
      </c>
      <c r="AE61" s="57">
        <f t="shared" si="121"/>
        <v>1</v>
      </c>
      <c r="AF61" s="50">
        <f t="shared" si="111"/>
        <v>147.95000000000002</v>
      </c>
      <c r="AG61" s="39" t="str">
        <f t="shared" si="112"/>
        <v>OK</v>
      </c>
      <c r="AJ61" s="8" t="s">
        <v>24</v>
      </c>
      <c r="AK61" s="8" t="s">
        <v>94</v>
      </c>
      <c r="AL61" s="8" t="s">
        <v>271</v>
      </c>
      <c r="AM61" s="9" t="s">
        <v>95</v>
      </c>
      <c r="AN61" s="51" t="s">
        <v>9</v>
      </c>
      <c r="AO61" s="87">
        <v>1</v>
      </c>
      <c r="AP61" s="69"/>
      <c r="AQ61" s="59">
        <f t="shared" si="122"/>
        <v>10.270128047710928</v>
      </c>
      <c r="AR61" s="59">
        <f t="shared" si="123"/>
        <v>106.54271180494649</v>
      </c>
      <c r="AS61" s="59">
        <f t="shared" si="124"/>
        <v>116.81283985265742</v>
      </c>
      <c r="AT61" s="88">
        <v>0.14019999999999999</v>
      </c>
      <c r="AU61" s="69">
        <v>11.71</v>
      </c>
      <c r="AV61" s="69">
        <v>121.48</v>
      </c>
      <c r="AW61" s="52">
        <f t="shared" si="125"/>
        <v>133.19</v>
      </c>
      <c r="AX61" s="53">
        <f t="shared" si="126"/>
        <v>11.71</v>
      </c>
      <c r="AY61" s="53">
        <f t="shared" si="127"/>
        <v>121.48</v>
      </c>
      <c r="AZ61" s="53">
        <f t="shared" si="128"/>
        <v>133.19</v>
      </c>
      <c r="BJ61" s="55">
        <v>1</v>
      </c>
      <c r="BK61" s="97">
        <f t="shared" ref="BK61:BK78" si="131">BJ61*$AZ61</f>
        <v>133.19</v>
      </c>
      <c r="BQ61" s="57">
        <f t="shared" si="130"/>
        <v>1</v>
      </c>
      <c r="BR61" s="50">
        <f t="shared" si="114"/>
        <v>133.19</v>
      </c>
      <c r="BS61" s="39" t="str">
        <f t="shared" si="22"/>
        <v>OK</v>
      </c>
    </row>
    <row r="62" spans="1:71" ht="30" outlineLevel="1" x14ac:dyDescent="0.25">
      <c r="A62" s="8" t="s">
        <v>24</v>
      </c>
      <c r="B62" s="8" t="s">
        <v>96</v>
      </c>
      <c r="C62" s="8" t="s">
        <v>272</v>
      </c>
      <c r="D62" s="9" t="s">
        <v>97</v>
      </c>
      <c r="E62" s="51" t="s">
        <v>9</v>
      </c>
      <c r="F62" s="69">
        <v>3</v>
      </c>
      <c r="G62" s="53">
        <v>77.319999999999993</v>
      </c>
      <c r="H62" s="53">
        <v>8.49</v>
      </c>
      <c r="I62" s="53">
        <f t="shared" si="115"/>
        <v>85.809999999999988</v>
      </c>
      <c r="J62" s="53">
        <f t="shared" si="116"/>
        <v>257.43</v>
      </c>
      <c r="K62" s="58">
        <v>0.27760000000000001</v>
      </c>
      <c r="L62" s="53">
        <f t="shared" si="117"/>
        <v>296.35000000000002</v>
      </c>
      <c r="M62" s="53">
        <f t="shared" si="117"/>
        <v>32.54</v>
      </c>
      <c r="N62" s="53">
        <f t="shared" si="118"/>
        <v>328.89000000000004</v>
      </c>
      <c r="Z62" s="55">
        <v>0.25</v>
      </c>
      <c r="AA62" s="56">
        <f t="shared" si="119"/>
        <v>82.222500000000011</v>
      </c>
      <c r="AB62" s="55">
        <v>0.75</v>
      </c>
      <c r="AC62" s="56">
        <f t="shared" si="120"/>
        <v>246.66750000000002</v>
      </c>
      <c r="AE62" s="57">
        <f t="shared" si="121"/>
        <v>1</v>
      </c>
      <c r="AF62" s="50">
        <f t="shared" si="111"/>
        <v>328.89000000000004</v>
      </c>
      <c r="AG62" s="39" t="str">
        <f t="shared" si="112"/>
        <v>OK</v>
      </c>
      <c r="AJ62" s="8" t="s">
        <v>24</v>
      </c>
      <c r="AK62" s="8" t="s">
        <v>96</v>
      </c>
      <c r="AL62" s="8" t="s">
        <v>272</v>
      </c>
      <c r="AM62" s="9" t="s">
        <v>97</v>
      </c>
      <c r="AN62" s="51" t="s">
        <v>9</v>
      </c>
      <c r="AO62" s="87">
        <v>3</v>
      </c>
      <c r="AP62" s="69"/>
      <c r="AQ62" s="59">
        <f t="shared" si="122"/>
        <v>10.270128047710928</v>
      </c>
      <c r="AR62" s="59">
        <f t="shared" si="123"/>
        <v>76.740922645149965</v>
      </c>
      <c r="AS62" s="59">
        <f t="shared" si="124"/>
        <v>87.011050692860906</v>
      </c>
      <c r="AT62" s="88">
        <v>0.14019999999999999</v>
      </c>
      <c r="AU62" s="69">
        <v>11.71</v>
      </c>
      <c r="AV62" s="69">
        <v>87.5</v>
      </c>
      <c r="AW62" s="52">
        <f t="shared" si="125"/>
        <v>99.210000000000008</v>
      </c>
      <c r="AX62" s="53">
        <f t="shared" si="126"/>
        <v>35.130000000000003</v>
      </c>
      <c r="AY62" s="53">
        <f t="shared" si="127"/>
        <v>262.5</v>
      </c>
      <c r="AZ62" s="53">
        <f t="shared" si="128"/>
        <v>297.63</v>
      </c>
      <c r="BJ62" s="55">
        <v>1</v>
      </c>
      <c r="BK62" s="97">
        <f t="shared" si="131"/>
        <v>297.63</v>
      </c>
      <c r="BQ62" s="57">
        <f t="shared" si="130"/>
        <v>1</v>
      </c>
      <c r="BR62" s="50">
        <f t="shared" si="114"/>
        <v>297.63</v>
      </c>
      <c r="BS62" s="39" t="str">
        <f t="shared" si="22"/>
        <v>OK</v>
      </c>
    </row>
    <row r="63" spans="1:71" ht="30" outlineLevel="1" x14ac:dyDescent="0.25">
      <c r="A63" s="8" t="s">
        <v>24</v>
      </c>
      <c r="B63" s="8" t="s">
        <v>98</v>
      </c>
      <c r="C63" s="8" t="s">
        <v>273</v>
      </c>
      <c r="D63" s="9" t="s">
        <v>99</v>
      </c>
      <c r="E63" s="51" t="s">
        <v>9</v>
      </c>
      <c r="F63" s="69">
        <v>1</v>
      </c>
      <c r="G63" s="53">
        <v>59.67</v>
      </c>
      <c r="H63" s="53">
        <v>1.86</v>
      </c>
      <c r="I63" s="53">
        <f t="shared" si="115"/>
        <v>61.53</v>
      </c>
      <c r="J63" s="53">
        <f t="shared" si="116"/>
        <v>61.53</v>
      </c>
      <c r="K63" s="58">
        <v>0.27760000000000001</v>
      </c>
      <c r="L63" s="53">
        <f t="shared" si="117"/>
        <v>76.23</v>
      </c>
      <c r="M63" s="53">
        <f t="shared" si="117"/>
        <v>2.37</v>
      </c>
      <c r="N63" s="53">
        <f t="shared" si="118"/>
        <v>78.600000000000009</v>
      </c>
      <c r="Z63" s="55">
        <v>0.25</v>
      </c>
      <c r="AA63" s="56">
        <f t="shared" si="119"/>
        <v>19.650000000000002</v>
      </c>
      <c r="AB63" s="55">
        <v>0.75</v>
      </c>
      <c r="AC63" s="56">
        <f t="shared" si="120"/>
        <v>58.95</v>
      </c>
      <c r="AE63" s="57">
        <f t="shared" si="121"/>
        <v>1</v>
      </c>
      <c r="AF63" s="50">
        <f t="shared" si="111"/>
        <v>78.600000000000009</v>
      </c>
      <c r="AG63" s="39" t="str">
        <f t="shared" si="112"/>
        <v>OK</v>
      </c>
      <c r="AJ63" s="8" t="s">
        <v>24</v>
      </c>
      <c r="AK63" s="8" t="s">
        <v>98</v>
      </c>
      <c r="AL63" s="8" t="s">
        <v>273</v>
      </c>
      <c r="AM63" s="9" t="s">
        <v>99</v>
      </c>
      <c r="AN63" s="51" t="s">
        <v>9</v>
      </c>
      <c r="AO63" s="87">
        <v>1</v>
      </c>
      <c r="AP63" s="69"/>
      <c r="AQ63" s="59">
        <f t="shared" si="122"/>
        <v>2.2539905279775474</v>
      </c>
      <c r="AR63" s="59">
        <f t="shared" si="123"/>
        <v>59.165058761620756</v>
      </c>
      <c r="AS63" s="59">
        <f t="shared" si="124"/>
        <v>61.419049289598298</v>
      </c>
      <c r="AT63" s="88">
        <v>0.14019999999999999</v>
      </c>
      <c r="AU63" s="69">
        <v>2.57</v>
      </c>
      <c r="AV63" s="69">
        <v>67.459999999999994</v>
      </c>
      <c r="AW63" s="52">
        <f t="shared" si="125"/>
        <v>70.029999999999987</v>
      </c>
      <c r="AX63" s="53">
        <f t="shared" si="126"/>
        <v>2.57</v>
      </c>
      <c r="AY63" s="53">
        <f t="shared" si="127"/>
        <v>67.459999999999994</v>
      </c>
      <c r="AZ63" s="53">
        <f t="shared" si="128"/>
        <v>70.029999999999987</v>
      </c>
      <c r="BJ63" s="55">
        <v>1</v>
      </c>
      <c r="BK63" s="97">
        <f t="shared" si="131"/>
        <v>70.029999999999987</v>
      </c>
      <c r="BQ63" s="57">
        <f t="shared" si="130"/>
        <v>1</v>
      </c>
      <c r="BR63" s="50">
        <f t="shared" si="114"/>
        <v>70.029999999999987</v>
      </c>
      <c r="BS63" s="39" t="str">
        <f t="shared" si="22"/>
        <v>OK</v>
      </c>
    </row>
    <row r="64" spans="1:71" ht="30" outlineLevel="1" x14ac:dyDescent="0.25">
      <c r="A64" s="8" t="s">
        <v>24</v>
      </c>
      <c r="B64" s="8" t="s">
        <v>100</v>
      </c>
      <c r="C64" s="8" t="s">
        <v>274</v>
      </c>
      <c r="D64" s="9" t="s">
        <v>88</v>
      </c>
      <c r="E64" s="51" t="s">
        <v>9</v>
      </c>
      <c r="F64" s="69">
        <v>3</v>
      </c>
      <c r="G64" s="53">
        <v>10.74</v>
      </c>
      <c r="H64" s="53">
        <v>0</v>
      </c>
      <c r="I64" s="53">
        <f t="shared" si="115"/>
        <v>10.74</v>
      </c>
      <c r="J64" s="53">
        <f t="shared" si="116"/>
        <v>32.22</v>
      </c>
      <c r="K64" s="58">
        <v>0.27760000000000001</v>
      </c>
      <c r="L64" s="53">
        <f t="shared" si="117"/>
        <v>41.16</v>
      </c>
      <c r="M64" s="53">
        <f t="shared" si="117"/>
        <v>0</v>
      </c>
      <c r="N64" s="53">
        <f t="shared" si="118"/>
        <v>41.16</v>
      </c>
      <c r="Z64" s="55">
        <v>0.25</v>
      </c>
      <c r="AA64" s="56">
        <f t="shared" si="119"/>
        <v>10.29</v>
      </c>
      <c r="AB64" s="55">
        <v>0.75</v>
      </c>
      <c r="AC64" s="56">
        <f t="shared" si="120"/>
        <v>30.869999999999997</v>
      </c>
      <c r="AE64" s="57">
        <f t="shared" si="121"/>
        <v>1</v>
      </c>
      <c r="AF64" s="50">
        <f t="shared" si="111"/>
        <v>41.16</v>
      </c>
      <c r="AG64" s="39" t="str">
        <f t="shared" si="112"/>
        <v>OK</v>
      </c>
      <c r="AJ64" s="8" t="s">
        <v>24</v>
      </c>
      <c r="AK64" s="8" t="s">
        <v>100</v>
      </c>
      <c r="AL64" s="8" t="s">
        <v>274</v>
      </c>
      <c r="AM64" s="9" t="s">
        <v>88</v>
      </c>
      <c r="AN64" s="51" t="s">
        <v>9</v>
      </c>
      <c r="AO64" s="87">
        <v>3</v>
      </c>
      <c r="AP64" s="69"/>
      <c r="AQ64" s="59">
        <f t="shared" si="122"/>
        <v>0</v>
      </c>
      <c r="AR64" s="59">
        <f t="shared" si="123"/>
        <v>10.73495877916155</v>
      </c>
      <c r="AS64" s="59">
        <f t="shared" si="124"/>
        <v>10.73495877916155</v>
      </c>
      <c r="AT64" s="88">
        <v>0.14019999999999999</v>
      </c>
      <c r="AU64" s="69">
        <v>0</v>
      </c>
      <c r="AV64" s="69">
        <v>12.24</v>
      </c>
      <c r="AW64" s="52">
        <f t="shared" si="125"/>
        <v>12.24</v>
      </c>
      <c r="AX64" s="53">
        <f t="shared" si="126"/>
        <v>0</v>
      </c>
      <c r="AY64" s="53">
        <f t="shared" si="127"/>
        <v>36.72</v>
      </c>
      <c r="AZ64" s="53">
        <f t="shared" si="128"/>
        <v>36.72</v>
      </c>
      <c r="BJ64" s="55">
        <v>1</v>
      </c>
      <c r="BK64" s="97">
        <f t="shared" si="131"/>
        <v>36.72</v>
      </c>
      <c r="BQ64" s="57">
        <f t="shared" si="130"/>
        <v>1</v>
      </c>
      <c r="BR64" s="50">
        <f t="shared" si="114"/>
        <v>36.72</v>
      </c>
      <c r="BS64" s="39" t="str">
        <f t="shared" si="22"/>
        <v>OK</v>
      </c>
    </row>
    <row r="65" spans="1:71" ht="30" outlineLevel="1" x14ac:dyDescent="0.25">
      <c r="A65" s="8" t="s">
        <v>24</v>
      </c>
      <c r="B65" s="8" t="s">
        <v>101</v>
      </c>
      <c r="C65" s="8" t="s">
        <v>275</v>
      </c>
      <c r="D65" s="9" t="s">
        <v>102</v>
      </c>
      <c r="E65" s="51" t="s">
        <v>9</v>
      </c>
      <c r="F65" s="69">
        <v>6</v>
      </c>
      <c r="G65" s="53">
        <v>6.1</v>
      </c>
      <c r="H65" s="53">
        <v>0</v>
      </c>
      <c r="I65" s="53">
        <f t="shared" si="115"/>
        <v>6.1</v>
      </c>
      <c r="J65" s="53">
        <f t="shared" si="116"/>
        <v>36.6</v>
      </c>
      <c r="K65" s="58">
        <v>0.27760000000000001</v>
      </c>
      <c r="L65" s="53">
        <f t="shared" si="117"/>
        <v>46.76</v>
      </c>
      <c r="M65" s="53">
        <f t="shared" si="117"/>
        <v>0</v>
      </c>
      <c r="N65" s="53">
        <f t="shared" si="118"/>
        <v>46.76</v>
      </c>
      <c r="Z65" s="55">
        <v>0.25</v>
      </c>
      <c r="AA65" s="56">
        <f t="shared" si="119"/>
        <v>11.69</v>
      </c>
      <c r="AB65" s="55">
        <v>0.75</v>
      </c>
      <c r="AC65" s="56">
        <f t="shared" si="120"/>
        <v>35.07</v>
      </c>
      <c r="AE65" s="57">
        <f t="shared" si="121"/>
        <v>1</v>
      </c>
      <c r="AF65" s="50">
        <f t="shared" si="111"/>
        <v>46.76</v>
      </c>
      <c r="AG65" s="39" t="str">
        <f t="shared" si="112"/>
        <v>OK</v>
      </c>
      <c r="AJ65" s="8" t="s">
        <v>24</v>
      </c>
      <c r="AK65" s="8" t="s">
        <v>101</v>
      </c>
      <c r="AL65" s="8" t="s">
        <v>275</v>
      </c>
      <c r="AM65" s="9" t="s">
        <v>102</v>
      </c>
      <c r="AN65" s="51" t="s">
        <v>9</v>
      </c>
      <c r="AO65" s="87">
        <v>6</v>
      </c>
      <c r="AP65" s="69"/>
      <c r="AQ65" s="59">
        <f t="shared" si="122"/>
        <v>0</v>
      </c>
      <c r="AR65" s="59">
        <f t="shared" si="123"/>
        <v>6.0954218558147693</v>
      </c>
      <c r="AS65" s="59">
        <f t="shared" si="124"/>
        <v>6.0954218558147693</v>
      </c>
      <c r="AT65" s="88">
        <v>0.14019999999999999</v>
      </c>
      <c r="AU65" s="69">
        <v>0</v>
      </c>
      <c r="AV65" s="69">
        <v>6.95</v>
      </c>
      <c r="AW65" s="52">
        <f t="shared" si="125"/>
        <v>6.95</v>
      </c>
      <c r="AX65" s="53">
        <f t="shared" si="126"/>
        <v>0</v>
      </c>
      <c r="AY65" s="53">
        <f t="shared" si="127"/>
        <v>41.7</v>
      </c>
      <c r="AZ65" s="53">
        <f t="shared" si="128"/>
        <v>41.7</v>
      </c>
      <c r="BJ65" s="55">
        <v>1</v>
      </c>
      <c r="BK65" s="97">
        <f t="shared" si="131"/>
        <v>41.7</v>
      </c>
      <c r="BQ65" s="57">
        <f t="shared" si="130"/>
        <v>1</v>
      </c>
      <c r="BR65" s="50">
        <f t="shared" si="114"/>
        <v>41.7</v>
      </c>
      <c r="BS65" s="39" t="str">
        <f t="shared" si="22"/>
        <v>OK</v>
      </c>
    </row>
    <row r="66" spans="1:71" ht="30" outlineLevel="1" x14ac:dyDescent="0.25">
      <c r="A66" s="8" t="s">
        <v>24</v>
      </c>
      <c r="B66" s="8" t="s">
        <v>103</v>
      </c>
      <c r="C66" s="8" t="s">
        <v>267</v>
      </c>
      <c r="D66" s="9" t="s">
        <v>89</v>
      </c>
      <c r="E66" s="51" t="s">
        <v>9</v>
      </c>
      <c r="F66" s="69">
        <v>4</v>
      </c>
      <c r="G66" s="53">
        <v>9.5500000000000007</v>
      </c>
      <c r="H66" s="53">
        <v>8.51</v>
      </c>
      <c r="I66" s="53">
        <f t="shared" si="115"/>
        <v>18.060000000000002</v>
      </c>
      <c r="J66" s="53">
        <f t="shared" si="116"/>
        <v>72.239999999999995</v>
      </c>
      <c r="K66" s="58">
        <v>0.27760000000000001</v>
      </c>
      <c r="L66" s="53">
        <f t="shared" si="117"/>
        <v>48.8</v>
      </c>
      <c r="M66" s="53">
        <f t="shared" si="117"/>
        <v>43.48</v>
      </c>
      <c r="N66" s="53">
        <f t="shared" si="118"/>
        <v>92.28</v>
      </c>
      <c r="Z66" s="55">
        <v>0.25</v>
      </c>
      <c r="AA66" s="56">
        <f t="shared" si="119"/>
        <v>23.07</v>
      </c>
      <c r="AB66" s="55">
        <v>0.75</v>
      </c>
      <c r="AC66" s="56">
        <f t="shared" si="120"/>
        <v>69.210000000000008</v>
      </c>
      <c r="AE66" s="57">
        <f t="shared" si="121"/>
        <v>1</v>
      </c>
      <c r="AF66" s="50">
        <f t="shared" si="111"/>
        <v>92.28</v>
      </c>
      <c r="AG66" s="39" t="str">
        <f t="shared" si="112"/>
        <v>OK</v>
      </c>
      <c r="AJ66" s="8" t="s">
        <v>24</v>
      </c>
      <c r="AK66" s="8" t="s">
        <v>103</v>
      </c>
      <c r="AL66" s="8" t="s">
        <v>267</v>
      </c>
      <c r="AM66" s="9" t="s">
        <v>89</v>
      </c>
      <c r="AN66" s="51" t="s">
        <v>9</v>
      </c>
      <c r="AO66" s="87">
        <v>4</v>
      </c>
      <c r="AP66" s="69"/>
      <c r="AQ66" s="59">
        <f t="shared" si="122"/>
        <v>10.270128047710928</v>
      </c>
      <c r="AR66" s="59">
        <f t="shared" si="123"/>
        <v>9.7439045781441838</v>
      </c>
      <c r="AS66" s="59">
        <f t="shared" si="124"/>
        <v>20.014032625855112</v>
      </c>
      <c r="AT66" s="88">
        <v>0.14019999999999999</v>
      </c>
      <c r="AU66" s="69">
        <v>11.71</v>
      </c>
      <c r="AV66" s="69">
        <v>11.11</v>
      </c>
      <c r="AW66" s="52">
        <f t="shared" si="125"/>
        <v>22.82</v>
      </c>
      <c r="AX66" s="53">
        <f t="shared" si="126"/>
        <v>46.84</v>
      </c>
      <c r="AY66" s="53">
        <f t="shared" si="127"/>
        <v>44.44</v>
      </c>
      <c r="AZ66" s="53">
        <f t="shared" si="128"/>
        <v>91.28</v>
      </c>
      <c r="BJ66" s="55">
        <v>1</v>
      </c>
      <c r="BK66" s="97">
        <f t="shared" si="131"/>
        <v>91.28</v>
      </c>
      <c r="BQ66" s="57">
        <f t="shared" si="130"/>
        <v>1</v>
      </c>
      <c r="BR66" s="50">
        <f t="shared" si="114"/>
        <v>91.28</v>
      </c>
      <c r="BS66" s="39" t="str">
        <f t="shared" si="22"/>
        <v>OK</v>
      </c>
    </row>
    <row r="67" spans="1:71" ht="30" outlineLevel="1" x14ac:dyDescent="0.25">
      <c r="A67" s="8" t="s">
        <v>24</v>
      </c>
      <c r="B67" s="8" t="s">
        <v>104</v>
      </c>
      <c r="C67" s="8" t="s">
        <v>276</v>
      </c>
      <c r="D67" s="9" t="s">
        <v>105</v>
      </c>
      <c r="E67" s="51" t="s">
        <v>9</v>
      </c>
      <c r="F67" s="52">
        <v>15</v>
      </c>
      <c r="G67" s="53">
        <v>3.41</v>
      </c>
      <c r="H67" s="53">
        <v>0</v>
      </c>
      <c r="I67" s="53">
        <f t="shared" si="115"/>
        <v>3.41</v>
      </c>
      <c r="J67" s="53">
        <f t="shared" si="116"/>
        <v>51.15</v>
      </c>
      <c r="K67" s="58">
        <v>0.27760000000000001</v>
      </c>
      <c r="L67" s="53">
        <f t="shared" si="117"/>
        <v>65.34</v>
      </c>
      <c r="M67" s="53">
        <f t="shared" si="117"/>
        <v>0</v>
      </c>
      <c r="N67" s="53">
        <f t="shared" si="118"/>
        <v>65.34</v>
      </c>
      <c r="Z67" s="55">
        <v>0.25</v>
      </c>
      <c r="AA67" s="56">
        <f t="shared" si="119"/>
        <v>16.335000000000001</v>
      </c>
      <c r="AB67" s="55">
        <v>0.75</v>
      </c>
      <c r="AC67" s="56">
        <f t="shared" si="120"/>
        <v>49.005000000000003</v>
      </c>
      <c r="AE67" s="57">
        <f t="shared" si="121"/>
        <v>1</v>
      </c>
      <c r="AF67" s="50">
        <f t="shared" si="111"/>
        <v>65.34</v>
      </c>
      <c r="AG67" s="39" t="str">
        <f t="shared" si="112"/>
        <v>OK</v>
      </c>
      <c r="AJ67" s="8" t="s">
        <v>24</v>
      </c>
      <c r="AK67" s="8" t="s">
        <v>104</v>
      </c>
      <c r="AL67" s="8" t="s">
        <v>276</v>
      </c>
      <c r="AM67" s="9" t="s">
        <v>105</v>
      </c>
      <c r="AN67" s="51" t="s">
        <v>9</v>
      </c>
      <c r="AO67" s="84">
        <v>15</v>
      </c>
      <c r="AP67" s="52"/>
      <c r="AQ67" s="59">
        <f t="shared" si="122"/>
        <v>0</v>
      </c>
      <c r="AR67" s="59">
        <f t="shared" si="123"/>
        <v>3.4029117698649354</v>
      </c>
      <c r="AS67" s="59">
        <f t="shared" si="124"/>
        <v>3.4029117698649354</v>
      </c>
      <c r="AT67" s="88">
        <v>0.14019999999999999</v>
      </c>
      <c r="AU67" s="52">
        <v>0</v>
      </c>
      <c r="AV67" s="52">
        <v>3.88</v>
      </c>
      <c r="AW67" s="52">
        <f t="shared" si="125"/>
        <v>3.88</v>
      </c>
      <c r="AX67" s="53">
        <f t="shared" si="126"/>
        <v>0</v>
      </c>
      <c r="AY67" s="53">
        <f t="shared" si="127"/>
        <v>58.199999999999996</v>
      </c>
      <c r="AZ67" s="53">
        <f t="shared" si="128"/>
        <v>58.199999999999996</v>
      </c>
      <c r="BJ67" s="55">
        <v>1</v>
      </c>
      <c r="BK67" s="97">
        <f t="shared" si="131"/>
        <v>58.199999999999996</v>
      </c>
      <c r="BQ67" s="57">
        <f t="shared" si="130"/>
        <v>1</v>
      </c>
      <c r="BR67" s="50">
        <f t="shared" si="114"/>
        <v>58.199999999999996</v>
      </c>
      <c r="BS67" s="39" t="str">
        <f t="shared" si="22"/>
        <v>OK</v>
      </c>
    </row>
    <row r="68" spans="1:71" ht="30" outlineLevel="1" x14ac:dyDescent="0.25">
      <c r="A68" s="8" t="s">
        <v>24</v>
      </c>
      <c r="B68" s="8" t="s">
        <v>106</v>
      </c>
      <c r="C68" s="8" t="s">
        <v>277</v>
      </c>
      <c r="D68" s="9" t="s">
        <v>107</v>
      </c>
      <c r="E68" s="51" t="s">
        <v>17</v>
      </c>
      <c r="F68" s="69">
        <v>45</v>
      </c>
      <c r="G68" s="53">
        <v>45.8</v>
      </c>
      <c r="H68" s="53">
        <v>2.71</v>
      </c>
      <c r="I68" s="53">
        <f t="shared" si="115"/>
        <v>48.51</v>
      </c>
      <c r="J68" s="53">
        <f t="shared" si="116"/>
        <v>2182.9499999999998</v>
      </c>
      <c r="K68" s="58">
        <v>0.27760000000000001</v>
      </c>
      <c r="L68" s="53">
        <f t="shared" si="117"/>
        <v>2633.13</v>
      </c>
      <c r="M68" s="53">
        <f t="shared" si="117"/>
        <v>155.80000000000001</v>
      </c>
      <c r="N68" s="53">
        <f t="shared" si="118"/>
        <v>2788.9300000000003</v>
      </c>
      <c r="Z68" s="55">
        <v>0.25</v>
      </c>
      <c r="AA68" s="56">
        <f t="shared" si="119"/>
        <v>697.23250000000007</v>
      </c>
      <c r="AB68" s="55">
        <v>0.75</v>
      </c>
      <c r="AC68" s="56">
        <f t="shared" si="120"/>
        <v>2091.6975000000002</v>
      </c>
      <c r="AE68" s="57">
        <f t="shared" si="121"/>
        <v>1</v>
      </c>
      <c r="AF68" s="50">
        <f t="shared" si="111"/>
        <v>2788.9300000000003</v>
      </c>
      <c r="AG68" s="39" t="str">
        <f t="shared" si="112"/>
        <v>OK</v>
      </c>
      <c r="AJ68" s="8" t="s">
        <v>24</v>
      </c>
      <c r="AK68" s="8" t="s">
        <v>106</v>
      </c>
      <c r="AL68" s="8" t="s">
        <v>277</v>
      </c>
      <c r="AM68" s="9" t="s">
        <v>107</v>
      </c>
      <c r="AN68" s="51" t="s">
        <v>17</v>
      </c>
      <c r="AO68" s="87">
        <v>45</v>
      </c>
      <c r="AP68" s="69"/>
      <c r="AQ68" s="59">
        <f t="shared" si="122"/>
        <v>3.2713559024732501</v>
      </c>
      <c r="AR68" s="59">
        <f t="shared" si="123"/>
        <v>41.852306612874926</v>
      </c>
      <c r="AS68" s="59">
        <f t="shared" si="124"/>
        <v>45.12366251534818</v>
      </c>
      <c r="AT68" s="88">
        <v>0.14019999999999999</v>
      </c>
      <c r="AU68" s="69">
        <v>3.73</v>
      </c>
      <c r="AV68" s="69">
        <v>47.72</v>
      </c>
      <c r="AW68" s="52">
        <f t="shared" si="125"/>
        <v>51.449999999999996</v>
      </c>
      <c r="AX68" s="53">
        <f t="shared" si="126"/>
        <v>167.85</v>
      </c>
      <c r="AY68" s="53">
        <f t="shared" si="127"/>
        <v>2147.4</v>
      </c>
      <c r="AZ68" s="53">
        <f t="shared" si="128"/>
        <v>2315.25</v>
      </c>
      <c r="BJ68" s="55">
        <v>1</v>
      </c>
      <c r="BK68" s="97">
        <f t="shared" si="131"/>
        <v>2315.25</v>
      </c>
      <c r="BQ68" s="57">
        <f t="shared" si="130"/>
        <v>1</v>
      </c>
      <c r="BR68" s="50">
        <f t="shared" si="114"/>
        <v>2315.25</v>
      </c>
      <c r="BS68" s="39" t="str">
        <f t="shared" si="22"/>
        <v>OK</v>
      </c>
    </row>
    <row r="69" spans="1:71" ht="30" outlineLevel="1" x14ac:dyDescent="0.25">
      <c r="A69" s="8" t="s">
        <v>24</v>
      </c>
      <c r="B69" s="8" t="s">
        <v>108</v>
      </c>
      <c r="C69" s="8" t="s">
        <v>278</v>
      </c>
      <c r="D69" s="9" t="s">
        <v>109</v>
      </c>
      <c r="E69" s="51" t="s">
        <v>17</v>
      </c>
      <c r="F69" s="69">
        <v>15</v>
      </c>
      <c r="G69" s="53">
        <v>34.57</v>
      </c>
      <c r="H69" s="53">
        <v>2.21</v>
      </c>
      <c r="I69" s="53">
        <f t="shared" si="115"/>
        <v>36.78</v>
      </c>
      <c r="J69" s="53">
        <f t="shared" si="116"/>
        <v>551.70000000000005</v>
      </c>
      <c r="K69" s="58">
        <v>0.27760000000000001</v>
      </c>
      <c r="L69" s="53">
        <f t="shared" si="117"/>
        <v>662.49</v>
      </c>
      <c r="M69" s="53">
        <f t="shared" si="117"/>
        <v>42.35</v>
      </c>
      <c r="N69" s="53">
        <f t="shared" si="118"/>
        <v>704.84</v>
      </c>
      <c r="Z69" s="55">
        <v>0.25</v>
      </c>
      <c r="AA69" s="56">
        <f t="shared" si="119"/>
        <v>176.21</v>
      </c>
      <c r="AB69" s="55">
        <v>0.75</v>
      </c>
      <c r="AC69" s="56">
        <f t="shared" si="120"/>
        <v>528.63</v>
      </c>
      <c r="AE69" s="57">
        <f t="shared" si="121"/>
        <v>1</v>
      </c>
      <c r="AF69" s="50">
        <f t="shared" si="111"/>
        <v>704.84</v>
      </c>
      <c r="AG69" s="39" t="str">
        <f t="shared" si="112"/>
        <v>OK</v>
      </c>
      <c r="AJ69" s="8" t="s">
        <v>24</v>
      </c>
      <c r="AK69" s="8" t="s">
        <v>108</v>
      </c>
      <c r="AL69" s="8" t="s">
        <v>278</v>
      </c>
      <c r="AM69" s="9" t="s">
        <v>109</v>
      </c>
      <c r="AN69" s="51" t="s">
        <v>17</v>
      </c>
      <c r="AO69" s="87">
        <v>15</v>
      </c>
      <c r="AP69" s="69"/>
      <c r="AQ69" s="59">
        <f t="shared" si="122"/>
        <v>2.6837396947903875</v>
      </c>
      <c r="AR69" s="59">
        <f t="shared" si="123"/>
        <v>31.590948956323452</v>
      </c>
      <c r="AS69" s="59">
        <f t="shared" si="124"/>
        <v>34.274688651113841</v>
      </c>
      <c r="AT69" s="88">
        <v>0.14019999999999999</v>
      </c>
      <c r="AU69" s="69">
        <v>3.06</v>
      </c>
      <c r="AV69" s="69">
        <v>36.020000000000003</v>
      </c>
      <c r="AW69" s="52">
        <f t="shared" si="125"/>
        <v>39.080000000000005</v>
      </c>
      <c r="AX69" s="53">
        <f t="shared" si="126"/>
        <v>45.9</v>
      </c>
      <c r="AY69" s="53">
        <f t="shared" si="127"/>
        <v>540.30000000000007</v>
      </c>
      <c r="AZ69" s="53">
        <f t="shared" si="128"/>
        <v>586.20000000000005</v>
      </c>
      <c r="BJ69" s="55">
        <v>1</v>
      </c>
      <c r="BK69" s="97">
        <f t="shared" si="131"/>
        <v>586.20000000000005</v>
      </c>
      <c r="BQ69" s="57">
        <f t="shared" si="130"/>
        <v>1</v>
      </c>
      <c r="BR69" s="50">
        <f t="shared" si="114"/>
        <v>586.20000000000005</v>
      </c>
      <c r="BS69" s="39" t="str">
        <f t="shared" si="22"/>
        <v>OK</v>
      </c>
    </row>
    <row r="70" spans="1:71" ht="30" outlineLevel="1" x14ac:dyDescent="0.25">
      <c r="A70" s="8" t="s">
        <v>24</v>
      </c>
      <c r="B70" s="8" t="s">
        <v>110</v>
      </c>
      <c r="C70" s="8" t="s">
        <v>279</v>
      </c>
      <c r="D70" s="9" t="s">
        <v>111</v>
      </c>
      <c r="E70" s="51" t="s">
        <v>17</v>
      </c>
      <c r="F70" s="69">
        <v>15</v>
      </c>
      <c r="G70" s="53">
        <v>25.05</v>
      </c>
      <c r="H70" s="53">
        <v>1.84</v>
      </c>
      <c r="I70" s="53">
        <f t="shared" si="115"/>
        <v>26.89</v>
      </c>
      <c r="J70" s="53">
        <f t="shared" si="116"/>
        <v>403.35</v>
      </c>
      <c r="K70" s="58">
        <v>0.27760000000000001</v>
      </c>
      <c r="L70" s="53">
        <f t="shared" si="117"/>
        <v>480.05</v>
      </c>
      <c r="M70" s="53">
        <f t="shared" si="117"/>
        <v>35.26</v>
      </c>
      <c r="N70" s="53">
        <f t="shared" si="118"/>
        <v>515.31000000000006</v>
      </c>
      <c r="Z70" s="55">
        <v>0.25</v>
      </c>
      <c r="AA70" s="56">
        <f t="shared" si="119"/>
        <v>128.82750000000001</v>
      </c>
      <c r="AB70" s="55">
        <v>0.75</v>
      </c>
      <c r="AC70" s="56">
        <f t="shared" si="120"/>
        <v>386.48250000000007</v>
      </c>
      <c r="AE70" s="57">
        <f t="shared" si="121"/>
        <v>1</v>
      </c>
      <c r="AF70" s="50">
        <f t="shared" si="111"/>
        <v>515.31000000000006</v>
      </c>
      <c r="AG70" s="39" t="str">
        <f t="shared" si="112"/>
        <v>OK</v>
      </c>
      <c r="AJ70" s="8" t="s">
        <v>24</v>
      </c>
      <c r="AK70" s="8" t="s">
        <v>110</v>
      </c>
      <c r="AL70" s="8" t="s">
        <v>279</v>
      </c>
      <c r="AM70" s="9" t="s">
        <v>111</v>
      </c>
      <c r="AN70" s="51" t="s">
        <v>17</v>
      </c>
      <c r="AO70" s="87">
        <v>15</v>
      </c>
      <c r="AP70" s="69"/>
      <c r="AQ70" s="59">
        <f t="shared" si="122"/>
        <v>2.2276793544992106</v>
      </c>
      <c r="AR70" s="59">
        <f t="shared" si="123"/>
        <v>22.899491317312748</v>
      </c>
      <c r="AS70" s="59">
        <f t="shared" si="124"/>
        <v>25.12717067181196</v>
      </c>
      <c r="AT70" s="88">
        <v>0.14019999999999999</v>
      </c>
      <c r="AU70" s="69">
        <v>2.54</v>
      </c>
      <c r="AV70" s="69">
        <v>26.11</v>
      </c>
      <c r="AW70" s="52">
        <f t="shared" si="125"/>
        <v>28.65</v>
      </c>
      <c r="AX70" s="53">
        <f t="shared" si="126"/>
        <v>38.1</v>
      </c>
      <c r="AY70" s="53">
        <f t="shared" si="127"/>
        <v>391.65</v>
      </c>
      <c r="AZ70" s="53">
        <f t="shared" si="128"/>
        <v>429.75</v>
      </c>
      <c r="BJ70" s="55">
        <v>1</v>
      </c>
      <c r="BK70" s="97">
        <f t="shared" si="131"/>
        <v>429.75</v>
      </c>
      <c r="BQ70" s="57">
        <f t="shared" si="130"/>
        <v>1</v>
      </c>
      <c r="BR70" s="50">
        <f t="shared" si="114"/>
        <v>429.75</v>
      </c>
      <c r="BS70" s="39" t="str">
        <f t="shared" si="22"/>
        <v>OK</v>
      </c>
    </row>
    <row r="71" spans="1:71" ht="30" outlineLevel="1" x14ac:dyDescent="0.25">
      <c r="A71" s="8" t="s">
        <v>24</v>
      </c>
      <c r="B71" s="8" t="s">
        <v>112</v>
      </c>
      <c r="C71" s="8" t="s">
        <v>268</v>
      </c>
      <c r="D71" s="67" t="s">
        <v>90</v>
      </c>
      <c r="E71" s="51" t="s">
        <v>9</v>
      </c>
      <c r="F71" s="52">
        <v>1</v>
      </c>
      <c r="G71" s="53">
        <f>2.94+189.31+0.49</f>
        <v>192.74</v>
      </c>
      <c r="H71" s="53">
        <v>157.04</v>
      </c>
      <c r="I71" s="53">
        <f t="shared" si="115"/>
        <v>349.78</v>
      </c>
      <c r="J71" s="53">
        <f t="shared" si="116"/>
        <v>349.78</v>
      </c>
      <c r="K71" s="58">
        <v>0.27760000000000001</v>
      </c>
      <c r="L71" s="53">
        <f t="shared" si="117"/>
        <v>246.24</v>
      </c>
      <c r="M71" s="53">
        <f t="shared" si="117"/>
        <v>200.63</v>
      </c>
      <c r="N71" s="53">
        <f t="shared" si="118"/>
        <v>446.87</v>
      </c>
      <c r="Z71" s="55">
        <v>0.25</v>
      </c>
      <c r="AA71" s="56">
        <f t="shared" si="119"/>
        <v>111.7175</v>
      </c>
      <c r="AB71" s="55">
        <v>0.75</v>
      </c>
      <c r="AC71" s="56">
        <f t="shared" si="120"/>
        <v>335.15250000000003</v>
      </c>
      <c r="AE71" s="57">
        <f t="shared" si="121"/>
        <v>1</v>
      </c>
      <c r="AF71" s="50">
        <f t="shared" si="111"/>
        <v>446.87</v>
      </c>
      <c r="AG71" s="39" t="str">
        <f t="shared" si="112"/>
        <v>OK</v>
      </c>
      <c r="AJ71" s="8" t="s">
        <v>24</v>
      </c>
      <c r="AK71" s="8" t="s">
        <v>112</v>
      </c>
      <c r="AL71" s="8" t="s">
        <v>268</v>
      </c>
      <c r="AM71" s="67" t="s">
        <v>90</v>
      </c>
      <c r="AN71" s="51" t="s">
        <v>9</v>
      </c>
      <c r="AO71" s="84">
        <v>1</v>
      </c>
      <c r="AP71" s="52"/>
      <c r="AQ71" s="59">
        <f t="shared" si="122"/>
        <v>187.45834064199263</v>
      </c>
      <c r="AR71" s="59">
        <f t="shared" si="123"/>
        <v>195.46570777056655</v>
      </c>
      <c r="AS71" s="59">
        <f t="shared" si="124"/>
        <v>382.92404841255916</v>
      </c>
      <c r="AT71" s="88">
        <v>0.14019999999999999</v>
      </c>
      <c r="AU71" s="52">
        <v>213.74</v>
      </c>
      <c r="AV71" s="52">
        <v>222.87</v>
      </c>
      <c r="AW71" s="52">
        <f t="shared" si="125"/>
        <v>436.61</v>
      </c>
      <c r="AX71" s="53">
        <f t="shared" si="126"/>
        <v>213.74</v>
      </c>
      <c r="AY71" s="53">
        <f t="shared" si="127"/>
        <v>222.87</v>
      </c>
      <c r="AZ71" s="53">
        <f t="shared" si="128"/>
        <v>436.61</v>
      </c>
      <c r="BJ71" s="55">
        <v>1</v>
      </c>
      <c r="BK71" s="97">
        <f t="shared" si="131"/>
        <v>436.61</v>
      </c>
      <c r="BQ71" s="57">
        <f t="shared" si="130"/>
        <v>1</v>
      </c>
      <c r="BR71" s="50">
        <f t="shared" si="114"/>
        <v>436.61</v>
      </c>
      <c r="BS71" s="39" t="str">
        <f t="shared" si="22"/>
        <v>OK</v>
      </c>
    </row>
    <row r="72" spans="1:71" outlineLevel="1" x14ac:dyDescent="0.25">
      <c r="A72" s="8" t="s">
        <v>6</v>
      </c>
      <c r="B72" s="8" t="s">
        <v>113</v>
      </c>
      <c r="C72" s="8" t="s">
        <v>8</v>
      </c>
      <c r="D72" s="9" t="s">
        <v>114</v>
      </c>
      <c r="E72" s="51" t="s">
        <v>17</v>
      </c>
      <c r="F72" s="69">
        <v>7</v>
      </c>
      <c r="G72" s="53" t="e">
        <f>COTACOES!#REF!</f>
        <v>#REF!</v>
      </c>
      <c r="H72" s="53">
        <v>0</v>
      </c>
      <c r="I72" s="53" t="e">
        <f t="shared" si="115"/>
        <v>#REF!</v>
      </c>
      <c r="J72" s="53" t="e">
        <f t="shared" si="116"/>
        <v>#REF!</v>
      </c>
      <c r="K72" s="58">
        <v>0.27760000000000001</v>
      </c>
      <c r="L72" s="53" t="e">
        <f t="shared" si="117"/>
        <v>#REF!</v>
      </c>
      <c r="M72" s="53">
        <f t="shared" si="117"/>
        <v>0</v>
      </c>
      <c r="N72" s="53" t="e">
        <f t="shared" si="118"/>
        <v>#REF!</v>
      </c>
      <c r="Z72" s="55">
        <v>0.25</v>
      </c>
      <c r="AA72" s="56" t="e">
        <f t="shared" si="119"/>
        <v>#REF!</v>
      </c>
      <c r="AB72" s="55">
        <v>0.75</v>
      </c>
      <c r="AC72" s="56" t="e">
        <f t="shared" si="120"/>
        <v>#REF!</v>
      </c>
      <c r="AE72" s="57">
        <f t="shared" si="121"/>
        <v>1</v>
      </c>
      <c r="AF72" s="50" t="e">
        <f t="shared" si="111"/>
        <v>#REF!</v>
      </c>
      <c r="AG72" s="39" t="e">
        <f t="shared" si="112"/>
        <v>#REF!</v>
      </c>
      <c r="AJ72" s="8" t="s">
        <v>6</v>
      </c>
      <c r="AK72" s="8" t="s">
        <v>113</v>
      </c>
      <c r="AL72" s="8" t="s">
        <v>8</v>
      </c>
      <c r="AM72" s="9" t="s">
        <v>114</v>
      </c>
      <c r="AN72" s="51" t="s">
        <v>17</v>
      </c>
      <c r="AO72" s="87">
        <v>7</v>
      </c>
      <c r="AP72" s="69"/>
      <c r="AQ72" s="59">
        <f t="shared" si="122"/>
        <v>0</v>
      </c>
      <c r="AR72" s="59">
        <f t="shared" si="123"/>
        <v>64.567619715839328</v>
      </c>
      <c r="AS72" s="59">
        <f t="shared" si="124"/>
        <v>64.567619715839328</v>
      </c>
      <c r="AT72" s="88">
        <v>0.14019999999999999</v>
      </c>
      <c r="AU72" s="69">
        <v>0</v>
      </c>
      <c r="AV72" s="69">
        <v>73.62</v>
      </c>
      <c r="AW72" s="52">
        <f t="shared" si="125"/>
        <v>73.62</v>
      </c>
      <c r="AX72" s="53">
        <f t="shared" si="126"/>
        <v>0</v>
      </c>
      <c r="AY72" s="53">
        <f t="shared" si="127"/>
        <v>515.34</v>
      </c>
      <c r="AZ72" s="53">
        <f t="shared" si="128"/>
        <v>515.34</v>
      </c>
      <c r="BJ72" s="55">
        <v>1</v>
      </c>
      <c r="BK72" s="97">
        <f t="shared" si="131"/>
        <v>515.34</v>
      </c>
      <c r="BQ72" s="57">
        <f t="shared" si="130"/>
        <v>1</v>
      </c>
      <c r="BR72" s="50">
        <f t="shared" si="114"/>
        <v>515.34</v>
      </c>
      <c r="BS72" s="39" t="str">
        <f t="shared" si="22"/>
        <v>OK</v>
      </c>
    </row>
    <row r="73" spans="1:71" outlineLevel="1" x14ac:dyDescent="0.25">
      <c r="A73" s="8" t="s">
        <v>6</v>
      </c>
      <c r="B73" s="8" t="s">
        <v>115</v>
      </c>
      <c r="C73" s="8" t="s">
        <v>8</v>
      </c>
      <c r="D73" s="9" t="s">
        <v>116</v>
      </c>
      <c r="E73" s="51" t="s">
        <v>17</v>
      </c>
      <c r="F73" s="69">
        <v>5</v>
      </c>
      <c r="G73" s="53" t="e">
        <f>COTACOES!#REF!</f>
        <v>#REF!</v>
      </c>
      <c r="H73" s="53">
        <v>0</v>
      </c>
      <c r="I73" s="53" t="e">
        <f t="shared" si="115"/>
        <v>#REF!</v>
      </c>
      <c r="J73" s="53" t="e">
        <f t="shared" si="116"/>
        <v>#REF!</v>
      </c>
      <c r="K73" s="58">
        <v>0.27760000000000001</v>
      </c>
      <c r="L73" s="53" t="e">
        <f t="shared" si="117"/>
        <v>#REF!</v>
      </c>
      <c r="M73" s="53">
        <f t="shared" si="117"/>
        <v>0</v>
      </c>
      <c r="N73" s="53" t="e">
        <f t="shared" si="118"/>
        <v>#REF!</v>
      </c>
      <c r="Z73" s="55">
        <v>0.25</v>
      </c>
      <c r="AA73" s="56" t="e">
        <f t="shared" si="119"/>
        <v>#REF!</v>
      </c>
      <c r="AB73" s="55">
        <v>0.75</v>
      </c>
      <c r="AC73" s="56" t="e">
        <f t="shared" si="120"/>
        <v>#REF!</v>
      </c>
      <c r="AE73" s="57">
        <f t="shared" si="121"/>
        <v>1</v>
      </c>
      <c r="AF73" s="50" t="e">
        <f t="shared" si="111"/>
        <v>#REF!</v>
      </c>
      <c r="AG73" s="39" t="e">
        <f t="shared" si="112"/>
        <v>#REF!</v>
      </c>
      <c r="AJ73" s="8" t="s">
        <v>6</v>
      </c>
      <c r="AK73" s="8" t="s">
        <v>115</v>
      </c>
      <c r="AL73" s="8" t="s">
        <v>8</v>
      </c>
      <c r="AM73" s="9" t="s">
        <v>116</v>
      </c>
      <c r="AN73" s="51" t="s">
        <v>17</v>
      </c>
      <c r="AO73" s="87">
        <v>5</v>
      </c>
      <c r="AP73" s="69"/>
      <c r="AQ73" s="59">
        <f t="shared" si="122"/>
        <v>0</v>
      </c>
      <c r="AR73" s="59">
        <f t="shared" si="123"/>
        <v>33.643220487633748</v>
      </c>
      <c r="AS73" s="59">
        <f t="shared" si="124"/>
        <v>33.643220487633748</v>
      </c>
      <c r="AT73" s="88">
        <v>0.14019999999999999</v>
      </c>
      <c r="AU73" s="69">
        <v>0</v>
      </c>
      <c r="AV73" s="69">
        <v>38.36</v>
      </c>
      <c r="AW73" s="52">
        <f t="shared" si="125"/>
        <v>38.36</v>
      </c>
      <c r="AX73" s="53">
        <f t="shared" si="126"/>
        <v>0</v>
      </c>
      <c r="AY73" s="53">
        <f t="shared" si="127"/>
        <v>191.8</v>
      </c>
      <c r="AZ73" s="53">
        <f t="shared" si="128"/>
        <v>191.8</v>
      </c>
      <c r="BJ73" s="55">
        <v>1</v>
      </c>
      <c r="BK73" s="97">
        <f t="shared" si="131"/>
        <v>191.8</v>
      </c>
      <c r="BQ73" s="57">
        <f t="shared" si="130"/>
        <v>1</v>
      </c>
      <c r="BR73" s="50">
        <f t="shared" si="114"/>
        <v>191.8</v>
      </c>
      <c r="BS73" s="39" t="str">
        <f t="shared" si="22"/>
        <v>OK</v>
      </c>
    </row>
    <row r="74" spans="1:71" outlineLevel="1" x14ac:dyDescent="0.25">
      <c r="A74" s="8" t="s">
        <v>6</v>
      </c>
      <c r="B74" s="8" t="s">
        <v>117</v>
      </c>
      <c r="C74" s="8" t="s">
        <v>8</v>
      </c>
      <c r="D74" s="9" t="s">
        <v>118</v>
      </c>
      <c r="E74" s="51" t="s">
        <v>9</v>
      </c>
      <c r="F74" s="69">
        <v>16</v>
      </c>
      <c r="G74" s="53" t="e">
        <f>COTACOES!#REF!</f>
        <v>#REF!</v>
      </c>
      <c r="H74" s="53">
        <v>0</v>
      </c>
      <c r="I74" s="53" t="e">
        <f t="shared" si="115"/>
        <v>#REF!</v>
      </c>
      <c r="J74" s="53" t="e">
        <f t="shared" si="116"/>
        <v>#REF!</v>
      </c>
      <c r="K74" s="58">
        <v>0.27760000000000001</v>
      </c>
      <c r="L74" s="53" t="e">
        <f t="shared" si="117"/>
        <v>#REF!</v>
      </c>
      <c r="M74" s="53">
        <f t="shared" si="117"/>
        <v>0</v>
      </c>
      <c r="N74" s="53" t="e">
        <f t="shared" si="118"/>
        <v>#REF!</v>
      </c>
      <c r="Z74" s="55">
        <v>0.25</v>
      </c>
      <c r="AA74" s="56" t="e">
        <f t="shared" si="119"/>
        <v>#REF!</v>
      </c>
      <c r="AB74" s="55">
        <v>0.75</v>
      </c>
      <c r="AC74" s="56" t="e">
        <f t="shared" si="120"/>
        <v>#REF!</v>
      </c>
      <c r="AE74" s="57">
        <f t="shared" si="121"/>
        <v>1</v>
      </c>
      <c r="AF74" s="50" t="e">
        <f t="shared" si="111"/>
        <v>#REF!</v>
      </c>
      <c r="AG74" s="39" t="e">
        <f t="shared" si="112"/>
        <v>#REF!</v>
      </c>
      <c r="AJ74" s="8" t="s">
        <v>6</v>
      </c>
      <c r="AK74" s="8" t="s">
        <v>117</v>
      </c>
      <c r="AL74" s="8" t="s">
        <v>8</v>
      </c>
      <c r="AM74" s="9" t="s">
        <v>118</v>
      </c>
      <c r="AN74" s="51" t="s">
        <v>9</v>
      </c>
      <c r="AO74" s="87">
        <v>16</v>
      </c>
      <c r="AP74" s="69"/>
      <c r="AQ74" s="59">
        <f t="shared" si="122"/>
        <v>0</v>
      </c>
      <c r="AR74" s="59">
        <f t="shared" si="123"/>
        <v>7.7530257849500082</v>
      </c>
      <c r="AS74" s="59">
        <f t="shared" si="124"/>
        <v>7.7530257849500082</v>
      </c>
      <c r="AT74" s="88">
        <v>0.14019999999999999</v>
      </c>
      <c r="AU74" s="69">
        <v>0</v>
      </c>
      <c r="AV74" s="69">
        <v>8.84</v>
      </c>
      <c r="AW74" s="52">
        <f t="shared" si="125"/>
        <v>8.84</v>
      </c>
      <c r="AX74" s="53">
        <f t="shared" si="126"/>
        <v>0</v>
      </c>
      <c r="AY74" s="53">
        <f t="shared" si="127"/>
        <v>141.44</v>
      </c>
      <c r="AZ74" s="53">
        <f t="shared" si="128"/>
        <v>141.44</v>
      </c>
      <c r="BJ74" s="55">
        <v>1</v>
      </c>
      <c r="BK74" s="97">
        <f t="shared" si="131"/>
        <v>141.44</v>
      </c>
      <c r="BQ74" s="57">
        <f t="shared" si="130"/>
        <v>1</v>
      </c>
      <c r="BR74" s="50">
        <f t="shared" si="114"/>
        <v>141.44</v>
      </c>
      <c r="BS74" s="39" t="str">
        <f t="shared" ref="BS74:BS137" si="132">IF(BR74=AZ74,"OK","VERIFICAR")</f>
        <v>OK</v>
      </c>
    </row>
    <row r="75" spans="1:71" ht="30" outlineLevel="1" x14ac:dyDescent="0.25">
      <c r="A75" s="8" t="s">
        <v>24</v>
      </c>
      <c r="B75" s="8" t="s">
        <v>119</v>
      </c>
      <c r="C75" s="8" t="s">
        <v>280</v>
      </c>
      <c r="D75" s="9" t="s">
        <v>120</v>
      </c>
      <c r="E75" s="51" t="s">
        <v>9</v>
      </c>
      <c r="F75" s="69">
        <v>4</v>
      </c>
      <c r="G75" s="53">
        <v>12.56</v>
      </c>
      <c r="H75" s="53">
        <v>0</v>
      </c>
      <c r="I75" s="53">
        <f t="shared" si="115"/>
        <v>12.56</v>
      </c>
      <c r="J75" s="53">
        <f t="shared" si="116"/>
        <v>50.24</v>
      </c>
      <c r="K75" s="58">
        <v>0.27760000000000001</v>
      </c>
      <c r="L75" s="53">
        <f t="shared" si="117"/>
        <v>64.180000000000007</v>
      </c>
      <c r="M75" s="53">
        <f t="shared" si="117"/>
        <v>0</v>
      </c>
      <c r="N75" s="53">
        <f t="shared" si="118"/>
        <v>64.180000000000007</v>
      </c>
      <c r="Z75" s="55">
        <v>0.25</v>
      </c>
      <c r="AA75" s="56">
        <f t="shared" si="119"/>
        <v>16.045000000000002</v>
      </c>
      <c r="AB75" s="55">
        <v>0.75</v>
      </c>
      <c r="AC75" s="56">
        <f t="shared" si="120"/>
        <v>48.135000000000005</v>
      </c>
      <c r="AE75" s="57">
        <f t="shared" si="121"/>
        <v>1</v>
      </c>
      <c r="AF75" s="50">
        <f t="shared" si="111"/>
        <v>64.180000000000007</v>
      </c>
      <c r="AG75" s="39" t="str">
        <f t="shared" si="112"/>
        <v>OK</v>
      </c>
      <c r="AJ75" s="8" t="s">
        <v>24</v>
      </c>
      <c r="AK75" s="8" t="s">
        <v>119</v>
      </c>
      <c r="AL75" s="8" t="s">
        <v>280</v>
      </c>
      <c r="AM75" s="9" t="s">
        <v>120</v>
      </c>
      <c r="AN75" s="51" t="s">
        <v>9</v>
      </c>
      <c r="AO75" s="87">
        <v>4</v>
      </c>
      <c r="AP75" s="69"/>
      <c r="AQ75" s="59">
        <f t="shared" si="122"/>
        <v>0</v>
      </c>
      <c r="AR75" s="59">
        <f t="shared" si="123"/>
        <v>13.506402385546394</v>
      </c>
      <c r="AS75" s="59">
        <f t="shared" si="124"/>
        <v>13.506402385546394</v>
      </c>
      <c r="AT75" s="88">
        <v>0.14019999999999999</v>
      </c>
      <c r="AU75" s="69">
        <v>0</v>
      </c>
      <c r="AV75" s="69">
        <v>15.4</v>
      </c>
      <c r="AW75" s="52">
        <f t="shared" si="125"/>
        <v>15.4</v>
      </c>
      <c r="AX75" s="53">
        <f t="shared" si="126"/>
        <v>0</v>
      </c>
      <c r="AY75" s="53">
        <f t="shared" si="127"/>
        <v>61.6</v>
      </c>
      <c r="AZ75" s="53">
        <f t="shared" si="128"/>
        <v>61.6</v>
      </c>
      <c r="BJ75" s="55">
        <v>1</v>
      </c>
      <c r="BK75" s="97">
        <f t="shared" si="131"/>
        <v>61.6</v>
      </c>
      <c r="BQ75" s="57">
        <f t="shared" si="130"/>
        <v>1</v>
      </c>
      <c r="BR75" s="50">
        <f t="shared" si="114"/>
        <v>61.6</v>
      </c>
      <c r="BS75" s="39" t="str">
        <f t="shared" si="132"/>
        <v>OK</v>
      </c>
    </row>
    <row r="76" spans="1:71" outlineLevel="1" x14ac:dyDescent="0.25">
      <c r="A76" s="8" t="s">
        <v>6</v>
      </c>
      <c r="B76" s="8" t="s">
        <v>121</v>
      </c>
      <c r="C76" s="8" t="s">
        <v>8</v>
      </c>
      <c r="D76" s="9" t="s">
        <v>402</v>
      </c>
      <c r="E76" s="51" t="s">
        <v>9</v>
      </c>
      <c r="F76" s="69">
        <v>1</v>
      </c>
      <c r="G76" s="53" t="e">
        <f>COTACOES!#REF!</f>
        <v>#REF!</v>
      </c>
      <c r="H76" s="53">
        <v>0</v>
      </c>
      <c r="I76" s="53" t="e">
        <f t="shared" si="115"/>
        <v>#REF!</v>
      </c>
      <c r="J76" s="53" t="e">
        <f t="shared" si="116"/>
        <v>#REF!</v>
      </c>
      <c r="K76" s="58">
        <v>0.27760000000000001</v>
      </c>
      <c r="L76" s="53" t="e">
        <f t="shared" ref="L76:M78" si="133">TRUNC($F76*G76*(1+$K76),2)</f>
        <v>#REF!</v>
      </c>
      <c r="M76" s="53">
        <f t="shared" si="133"/>
        <v>0</v>
      </c>
      <c r="N76" s="53" t="e">
        <f t="shared" si="118"/>
        <v>#REF!</v>
      </c>
      <c r="Z76" s="55">
        <v>0.25</v>
      </c>
      <c r="AA76" s="56" t="e">
        <f t="shared" si="119"/>
        <v>#REF!</v>
      </c>
      <c r="AB76" s="55">
        <v>0.75</v>
      </c>
      <c r="AC76" s="56" t="e">
        <f t="shared" si="120"/>
        <v>#REF!</v>
      </c>
      <c r="AE76" s="57">
        <f t="shared" si="121"/>
        <v>1</v>
      </c>
      <c r="AF76" s="50" t="e">
        <f t="shared" si="111"/>
        <v>#REF!</v>
      </c>
      <c r="AG76" s="39" t="e">
        <f t="shared" si="112"/>
        <v>#REF!</v>
      </c>
      <c r="AJ76" s="8" t="s">
        <v>6</v>
      </c>
      <c r="AK76" s="8" t="s">
        <v>121</v>
      </c>
      <c r="AL76" s="8" t="s">
        <v>8</v>
      </c>
      <c r="AM76" s="9" t="s">
        <v>402</v>
      </c>
      <c r="AN76" s="51" t="s">
        <v>9</v>
      </c>
      <c r="AO76" s="87">
        <v>1</v>
      </c>
      <c r="AP76" s="69"/>
      <c r="AQ76" s="59">
        <f t="shared" si="122"/>
        <v>0</v>
      </c>
      <c r="AR76" s="59">
        <f t="shared" si="123"/>
        <v>963.99754429047539</v>
      </c>
      <c r="AS76" s="59">
        <f t="shared" si="124"/>
        <v>963.99754429047539</v>
      </c>
      <c r="AT76" s="88">
        <v>0.14019999999999999</v>
      </c>
      <c r="AU76" s="69">
        <v>0</v>
      </c>
      <c r="AV76" s="69">
        <v>1099.1500000000001</v>
      </c>
      <c r="AW76" s="52">
        <f t="shared" si="125"/>
        <v>1099.1500000000001</v>
      </c>
      <c r="AX76" s="53">
        <f t="shared" si="126"/>
        <v>0</v>
      </c>
      <c r="AY76" s="53">
        <f t="shared" si="127"/>
        <v>1099.1500000000001</v>
      </c>
      <c r="AZ76" s="53">
        <f t="shared" si="128"/>
        <v>1099.1500000000001</v>
      </c>
      <c r="BJ76" s="55">
        <v>1</v>
      </c>
      <c r="BK76" s="97">
        <f t="shared" si="131"/>
        <v>1099.1500000000001</v>
      </c>
      <c r="BQ76" s="57">
        <f t="shared" si="130"/>
        <v>1</v>
      </c>
      <c r="BR76" s="50">
        <f t="shared" si="114"/>
        <v>1099.1500000000001</v>
      </c>
      <c r="BS76" s="39" t="str">
        <f t="shared" si="132"/>
        <v>OK</v>
      </c>
    </row>
    <row r="77" spans="1:71" ht="30" outlineLevel="1" x14ac:dyDescent="0.25">
      <c r="A77" s="8" t="s">
        <v>24</v>
      </c>
      <c r="B77" s="8" t="s">
        <v>122</v>
      </c>
      <c r="C77" s="8" t="s">
        <v>269</v>
      </c>
      <c r="D77" s="9" t="s">
        <v>91</v>
      </c>
      <c r="E77" s="51" t="s">
        <v>9</v>
      </c>
      <c r="F77" s="69">
        <v>15</v>
      </c>
      <c r="G77" s="53">
        <v>14.8</v>
      </c>
      <c r="H77" s="53">
        <v>17.02</v>
      </c>
      <c r="I77" s="53">
        <f t="shared" si="115"/>
        <v>31.82</v>
      </c>
      <c r="J77" s="53">
        <f t="shared" si="116"/>
        <v>477.3</v>
      </c>
      <c r="K77" s="58">
        <v>0.27760000000000001</v>
      </c>
      <c r="L77" s="53">
        <f t="shared" si="133"/>
        <v>283.62</v>
      </c>
      <c r="M77" s="53">
        <f t="shared" si="133"/>
        <v>326.17</v>
      </c>
      <c r="N77" s="53">
        <f t="shared" si="118"/>
        <v>609.79</v>
      </c>
      <c r="Z77" s="55">
        <v>0.25</v>
      </c>
      <c r="AA77" s="56">
        <f t="shared" si="119"/>
        <v>152.44749999999999</v>
      </c>
      <c r="AB77" s="55">
        <v>0.75</v>
      </c>
      <c r="AC77" s="56">
        <f t="shared" si="120"/>
        <v>457.34249999999997</v>
      </c>
      <c r="AE77" s="57">
        <f t="shared" si="121"/>
        <v>1</v>
      </c>
      <c r="AF77" s="50">
        <f t="shared" si="111"/>
        <v>609.79</v>
      </c>
      <c r="AG77" s="39" t="str">
        <f t="shared" si="112"/>
        <v>OK</v>
      </c>
      <c r="AJ77" s="8" t="s">
        <v>24</v>
      </c>
      <c r="AK77" s="8" t="s">
        <v>122</v>
      </c>
      <c r="AL77" s="8" t="s">
        <v>269</v>
      </c>
      <c r="AM77" s="9" t="s">
        <v>91</v>
      </c>
      <c r="AN77" s="51" t="s">
        <v>9</v>
      </c>
      <c r="AO77" s="87">
        <v>15</v>
      </c>
      <c r="AP77" s="69"/>
      <c r="AQ77" s="59">
        <f t="shared" si="122"/>
        <v>20.557796877740746</v>
      </c>
      <c r="AR77" s="59">
        <f t="shared" si="123"/>
        <v>14.935976144536045</v>
      </c>
      <c r="AS77" s="59">
        <f t="shared" si="124"/>
        <v>35.493773022276791</v>
      </c>
      <c r="AT77" s="88">
        <v>0.14019999999999999</v>
      </c>
      <c r="AU77" s="69">
        <v>23.44</v>
      </c>
      <c r="AV77" s="69">
        <v>17.03</v>
      </c>
      <c r="AW77" s="52">
        <f t="shared" si="125"/>
        <v>40.47</v>
      </c>
      <c r="AX77" s="53">
        <f t="shared" si="126"/>
        <v>351.6</v>
      </c>
      <c r="AY77" s="53">
        <f t="shared" si="127"/>
        <v>255.45000000000002</v>
      </c>
      <c r="AZ77" s="53">
        <f t="shared" si="128"/>
        <v>607.04999999999995</v>
      </c>
      <c r="BJ77" s="55">
        <v>1</v>
      </c>
      <c r="BK77" s="97">
        <f t="shared" si="131"/>
        <v>607.04999999999995</v>
      </c>
      <c r="BQ77" s="57">
        <f t="shared" si="130"/>
        <v>1</v>
      </c>
      <c r="BR77" s="50">
        <f t="shared" si="114"/>
        <v>607.04999999999995</v>
      </c>
      <c r="BS77" s="39" t="str">
        <f t="shared" si="132"/>
        <v>OK</v>
      </c>
    </row>
    <row r="78" spans="1:71" outlineLevel="1" x14ac:dyDescent="0.25">
      <c r="A78" s="8" t="s">
        <v>24</v>
      </c>
      <c r="B78" s="8" t="s">
        <v>123</v>
      </c>
      <c r="C78" s="8" t="s">
        <v>256</v>
      </c>
      <c r="D78" s="9" t="s">
        <v>230</v>
      </c>
      <c r="E78" s="8" t="s">
        <v>69</v>
      </c>
      <c r="F78" s="59">
        <v>8</v>
      </c>
      <c r="G78" s="53">
        <v>4.5599999999999996</v>
      </c>
      <c r="H78" s="53">
        <v>12.49</v>
      </c>
      <c r="I78" s="53">
        <f t="shared" si="115"/>
        <v>17.05</v>
      </c>
      <c r="J78" s="53">
        <f t="shared" si="116"/>
        <v>136.4</v>
      </c>
      <c r="K78" s="58">
        <v>0.27760000000000001</v>
      </c>
      <c r="L78" s="53">
        <f t="shared" si="133"/>
        <v>46.6</v>
      </c>
      <c r="M78" s="53">
        <f t="shared" si="133"/>
        <v>127.65</v>
      </c>
      <c r="N78" s="53">
        <f t="shared" si="118"/>
        <v>174.25</v>
      </c>
      <c r="Z78" s="55">
        <v>0.25</v>
      </c>
      <c r="AA78" s="56">
        <f t="shared" si="119"/>
        <v>43.5625</v>
      </c>
      <c r="AB78" s="55">
        <v>0.75</v>
      </c>
      <c r="AC78" s="56">
        <f t="shared" si="120"/>
        <v>130.6875</v>
      </c>
      <c r="AE78" s="57">
        <f t="shared" si="121"/>
        <v>1</v>
      </c>
      <c r="AF78" s="50">
        <f t="shared" si="111"/>
        <v>174.25</v>
      </c>
      <c r="AG78" s="39" t="str">
        <f t="shared" si="112"/>
        <v>OK</v>
      </c>
      <c r="AJ78" s="8" t="s">
        <v>24</v>
      </c>
      <c r="AK78" s="8" t="s">
        <v>123</v>
      </c>
      <c r="AL78" s="8" t="s">
        <v>256</v>
      </c>
      <c r="AM78" s="9" t="s">
        <v>230</v>
      </c>
      <c r="AN78" s="8" t="s">
        <v>69</v>
      </c>
      <c r="AO78" s="85">
        <v>8</v>
      </c>
      <c r="AP78" s="59"/>
      <c r="AQ78" s="59">
        <f t="shared" si="122"/>
        <v>15.093843185406069</v>
      </c>
      <c r="AR78" s="59">
        <f t="shared" si="123"/>
        <v>4.7974039642168034</v>
      </c>
      <c r="AS78" s="59">
        <f t="shared" si="124"/>
        <v>19.89124714962287</v>
      </c>
      <c r="AT78" s="88">
        <v>0.14019999999999999</v>
      </c>
      <c r="AU78" s="59">
        <v>17.21</v>
      </c>
      <c r="AV78" s="59">
        <v>5.47</v>
      </c>
      <c r="AW78" s="52">
        <f t="shared" si="125"/>
        <v>22.68</v>
      </c>
      <c r="AX78" s="53">
        <f t="shared" si="126"/>
        <v>137.68</v>
      </c>
      <c r="AY78" s="53">
        <f t="shared" si="127"/>
        <v>43.76</v>
      </c>
      <c r="AZ78" s="53">
        <f t="shared" si="128"/>
        <v>181.44</v>
      </c>
      <c r="BJ78" s="55">
        <v>1</v>
      </c>
      <c r="BK78" s="97">
        <f t="shared" si="131"/>
        <v>181.44</v>
      </c>
      <c r="BQ78" s="57">
        <f t="shared" si="130"/>
        <v>1</v>
      </c>
      <c r="BR78" s="50">
        <f t="shared" si="114"/>
        <v>181.44</v>
      </c>
      <c r="BS78" s="39" t="str">
        <f t="shared" si="132"/>
        <v>OK</v>
      </c>
    </row>
    <row r="79" spans="1:71" x14ac:dyDescent="0.25">
      <c r="D79" s="65"/>
      <c r="AM79" s="65"/>
      <c r="AU79" s="91"/>
    </row>
    <row r="80" spans="1:71" x14ac:dyDescent="0.25">
      <c r="A80" s="4" t="s">
        <v>124</v>
      </c>
      <c r="B80" s="5"/>
      <c r="C80" s="5"/>
      <c r="D80" s="18"/>
      <c r="E80" s="5"/>
      <c r="F80" s="6"/>
      <c r="G80" s="6"/>
      <c r="H80" s="6"/>
      <c r="I80" s="7"/>
      <c r="J80" s="7"/>
      <c r="K80" s="7"/>
      <c r="L80" s="7"/>
      <c r="M80" s="7"/>
      <c r="N80" s="7">
        <f>SUM(N81:N120)</f>
        <v>18508.34</v>
      </c>
      <c r="P80" s="48" t="e">
        <f>N80/$N$170</f>
        <v>#REF!</v>
      </c>
      <c r="Q80" s="48" t="e">
        <f>N80/$N$170</f>
        <v>#REF!</v>
      </c>
      <c r="T80" s="49" t="e">
        <f>U80/$N$170</f>
        <v>#REF!</v>
      </c>
      <c r="U80" s="47">
        <f>SUM(U81:U120)</f>
        <v>0</v>
      </c>
      <c r="V80" s="49" t="e">
        <f>W80/$N$170</f>
        <v>#REF!</v>
      </c>
      <c r="W80" s="47">
        <f>SUM(W81:W120)</f>
        <v>0</v>
      </c>
      <c r="X80" s="49" t="e">
        <f>Y80/$N$170</f>
        <v>#REF!</v>
      </c>
      <c r="Y80" s="47">
        <f>SUM(Y81:Y120)</f>
        <v>0</v>
      </c>
      <c r="Z80" s="49" t="e">
        <f>AA80/$N$170</f>
        <v>#REF!</v>
      </c>
      <c r="AA80" s="47">
        <f>SUM(AA81:AA120)</f>
        <v>13881.255000000001</v>
      </c>
      <c r="AB80" s="49" t="e">
        <f>AC80/$N$170</f>
        <v>#REF!</v>
      </c>
      <c r="AC80" s="47">
        <f>SUM(AC81:AC120)</f>
        <v>4627.085</v>
      </c>
      <c r="AE80" s="43"/>
      <c r="AF80" s="50">
        <f t="shared" ref="AF80:AF120" si="134">SUM(U80,Y80,AA80,AC80)</f>
        <v>18508.34</v>
      </c>
      <c r="AG80" s="39" t="str">
        <f t="shared" ref="AG80:AG120" si="135">IF(AF80=N80,"OK","VERIFICAR")</f>
        <v>OK</v>
      </c>
      <c r="AJ80" s="4" t="s">
        <v>124</v>
      </c>
      <c r="AK80" s="5"/>
      <c r="AL80" s="5"/>
      <c r="AM80" s="18"/>
      <c r="AN80" s="5"/>
      <c r="AO80" s="6"/>
      <c r="AP80" s="90"/>
      <c r="AQ80" s="90"/>
      <c r="AR80" s="90"/>
      <c r="AS80" s="90"/>
      <c r="AT80" s="7"/>
      <c r="AU80" s="90"/>
      <c r="AV80" s="90"/>
      <c r="AW80" s="90"/>
      <c r="AX80" s="47">
        <f t="shared" ref="AX80:AY80" si="136">SUM(AX81:AX120)</f>
        <v>4817.0631999999987</v>
      </c>
      <c r="AY80" s="47">
        <f t="shared" si="136"/>
        <v>12177.279499999999</v>
      </c>
      <c r="AZ80" s="47">
        <f>SUM(AZ81:AZ120)</f>
        <v>16994.342699999997</v>
      </c>
      <c r="BB80" s="48" t="e">
        <f>#REF!/$N$170</f>
        <v>#REF!</v>
      </c>
      <c r="BC80" s="48">
        <f>AZ80/$AZ$170</f>
        <v>5.5946852583921132E-2</v>
      </c>
      <c r="BF80" s="49" t="e">
        <f>BG80/$N$170</f>
        <v>#REF!</v>
      </c>
      <c r="BG80" s="47">
        <f>SUM(BG81:BG120)</f>
        <v>0</v>
      </c>
      <c r="BH80" s="49" t="e">
        <f>BI80/$N$170</f>
        <v>#REF!</v>
      </c>
      <c r="BI80" s="47">
        <f>SUM(BI81:BI120)</f>
        <v>0</v>
      </c>
      <c r="BJ80" s="49" t="e">
        <f>BK80/$N$170</f>
        <v>#REF!</v>
      </c>
      <c r="BK80" s="47">
        <f>SUM(BK81:BK120)</f>
        <v>16994.342699999997</v>
      </c>
      <c r="BL80" s="49" t="e">
        <f>BM80/$N$170</f>
        <v>#REF!</v>
      </c>
      <c r="BM80" s="47">
        <f>SUM(BM81:BM120)</f>
        <v>0</v>
      </c>
      <c r="BN80" s="49" t="e">
        <f>BO80/$N$170</f>
        <v>#REF!</v>
      </c>
      <c r="BO80" s="47">
        <f>SUM(BO81:BO120)</f>
        <v>0</v>
      </c>
      <c r="BQ80" s="43"/>
      <c r="BR80" s="50">
        <f t="shared" ref="BR80:BR120" si="137">SUM(BG80,BK80,BM80,BO80)</f>
        <v>16994.342699999997</v>
      </c>
      <c r="BS80" s="39" t="str">
        <f t="shared" si="132"/>
        <v>OK</v>
      </c>
    </row>
    <row r="81" spans="1:71" ht="30" outlineLevel="1" x14ac:dyDescent="0.25">
      <c r="A81" s="8" t="s">
        <v>24</v>
      </c>
      <c r="B81" s="8" t="s">
        <v>125</v>
      </c>
      <c r="C81" s="8" t="s">
        <v>281</v>
      </c>
      <c r="D81" s="67" t="s">
        <v>126</v>
      </c>
      <c r="E81" s="51" t="s">
        <v>84</v>
      </c>
      <c r="F81" s="69">
        <v>50</v>
      </c>
      <c r="G81" s="53">
        <v>12.26</v>
      </c>
      <c r="H81" s="53">
        <v>2.73</v>
      </c>
      <c r="I81" s="53">
        <f t="shared" ref="I81:I120" si="138">G81+H81</f>
        <v>14.99</v>
      </c>
      <c r="J81" s="53">
        <f t="shared" ref="J81:J120" si="139">TRUNC(I81*F81,2)</f>
        <v>749.5</v>
      </c>
      <c r="K81" s="58">
        <v>0.27760000000000001</v>
      </c>
      <c r="L81" s="53">
        <f t="shared" ref="L81:M96" si="140">TRUNC($F81*G81*(1+$K81),2)</f>
        <v>783.16</v>
      </c>
      <c r="M81" s="53">
        <f t="shared" si="140"/>
        <v>174.39</v>
      </c>
      <c r="N81" s="53">
        <f t="shared" ref="N81:N120" si="141">M81+L81</f>
        <v>957.55</v>
      </c>
      <c r="Q81" s="48"/>
      <c r="Z81" s="55">
        <v>0.75</v>
      </c>
      <c r="AA81" s="56">
        <f t="shared" ref="AA81:AA120" si="142">Z81*$N81</f>
        <v>718.16249999999991</v>
      </c>
      <c r="AB81" s="55">
        <v>0.25</v>
      </c>
      <c r="AC81" s="56">
        <f t="shared" ref="AC81:AC120" si="143">AB81*$N81</f>
        <v>239.38749999999999</v>
      </c>
      <c r="AE81" s="57">
        <f t="shared" ref="AE81:AE120" si="144">SUM(T81,X81,Z81,AB81)</f>
        <v>1</v>
      </c>
      <c r="AF81" s="50">
        <f t="shared" si="134"/>
        <v>957.55</v>
      </c>
      <c r="AG81" s="39" t="str">
        <f t="shared" si="135"/>
        <v>OK</v>
      </c>
      <c r="AJ81" s="8" t="s">
        <v>24</v>
      </c>
      <c r="AK81" s="8" t="s">
        <v>125</v>
      </c>
      <c r="AL81" s="8" t="s">
        <v>281</v>
      </c>
      <c r="AM81" s="67" t="s">
        <v>126</v>
      </c>
      <c r="AN81" s="51" t="s">
        <v>84</v>
      </c>
      <c r="AO81" s="87">
        <v>50</v>
      </c>
      <c r="AP81" s="69"/>
      <c r="AQ81" s="59">
        <f t="shared" ref="AQ81:AQ120" si="145">AU81/(1+$AT81)</f>
        <v>2.0347307489914046</v>
      </c>
      <c r="AR81" s="59">
        <f t="shared" ref="AR81:AR120" si="146">AV81/(1+$AT81)</f>
        <v>7.9459743904578142</v>
      </c>
      <c r="AS81" s="59">
        <f t="shared" ref="AS81:AS120" si="147">AW81/(1+$AT81)</f>
        <v>9.9807051394492188</v>
      </c>
      <c r="AT81" s="88">
        <v>0.14019999999999999</v>
      </c>
      <c r="AU81" s="69">
        <v>2.3199999999999998</v>
      </c>
      <c r="AV81" s="69">
        <v>9.06</v>
      </c>
      <c r="AW81" s="52">
        <f t="shared" ref="AW81:AW120" si="148">AU81+AV81</f>
        <v>11.38</v>
      </c>
      <c r="AX81" s="53">
        <f t="shared" ref="AX81:AX120" si="149">$AO81*AU81</f>
        <v>115.99999999999999</v>
      </c>
      <c r="AY81" s="53">
        <f t="shared" ref="AY81:AY119" si="150">$AO81*AV81</f>
        <v>453</v>
      </c>
      <c r="AZ81" s="53">
        <f t="shared" ref="AZ81:AZ119" si="151">$AO81*AW81</f>
        <v>569</v>
      </c>
      <c r="BC81" s="48"/>
      <c r="BJ81" s="55">
        <v>1</v>
      </c>
      <c r="BK81" s="97">
        <f t="shared" ref="BK81" si="152">BJ81*$AZ81</f>
        <v>569</v>
      </c>
      <c r="BQ81" s="57">
        <f t="shared" ref="BQ81:BQ120" si="153">SUM(BF81,BJ81,BL81,BN81)</f>
        <v>1</v>
      </c>
      <c r="BR81" s="50">
        <f t="shared" si="137"/>
        <v>569</v>
      </c>
      <c r="BS81" s="39" t="str">
        <f t="shared" si="132"/>
        <v>OK</v>
      </c>
    </row>
    <row r="82" spans="1:71" ht="30" outlineLevel="1" x14ac:dyDescent="0.25">
      <c r="A82" s="8" t="s">
        <v>24</v>
      </c>
      <c r="B82" s="8" t="s">
        <v>127</v>
      </c>
      <c r="C82" s="8" t="s">
        <v>282</v>
      </c>
      <c r="D82" s="67" t="s">
        <v>128</v>
      </c>
      <c r="E82" s="51" t="s">
        <v>9</v>
      </c>
      <c r="F82" s="69">
        <v>6</v>
      </c>
      <c r="G82" s="53">
        <v>11.01</v>
      </c>
      <c r="H82" s="53">
        <v>8.2200000000000006</v>
      </c>
      <c r="I82" s="53">
        <f t="shared" si="138"/>
        <v>19.23</v>
      </c>
      <c r="J82" s="53">
        <f t="shared" si="139"/>
        <v>115.38</v>
      </c>
      <c r="K82" s="58">
        <v>0.27760000000000001</v>
      </c>
      <c r="L82" s="53">
        <f t="shared" si="140"/>
        <v>84.39</v>
      </c>
      <c r="M82" s="53">
        <f t="shared" si="140"/>
        <v>63.01</v>
      </c>
      <c r="N82" s="53">
        <f t="shared" si="141"/>
        <v>147.4</v>
      </c>
      <c r="Q82" s="48"/>
      <c r="Z82" s="55">
        <v>0.75</v>
      </c>
      <c r="AA82" s="56">
        <f t="shared" si="142"/>
        <v>110.55000000000001</v>
      </c>
      <c r="AB82" s="55">
        <v>0.25</v>
      </c>
      <c r="AC82" s="56">
        <f t="shared" si="143"/>
        <v>36.85</v>
      </c>
      <c r="AE82" s="57">
        <f t="shared" si="144"/>
        <v>1</v>
      </c>
      <c r="AF82" s="50">
        <f t="shared" si="134"/>
        <v>147.4</v>
      </c>
      <c r="AG82" s="39" t="str">
        <f t="shared" si="135"/>
        <v>OK</v>
      </c>
      <c r="AJ82" s="8" t="s">
        <v>24</v>
      </c>
      <c r="AK82" s="8" t="s">
        <v>127</v>
      </c>
      <c r="AL82" s="8" t="s">
        <v>282</v>
      </c>
      <c r="AM82" s="67" t="s">
        <v>128</v>
      </c>
      <c r="AN82" s="51" t="s">
        <v>9</v>
      </c>
      <c r="AO82" s="87">
        <v>6</v>
      </c>
      <c r="AP82" s="69"/>
      <c r="AQ82" s="59">
        <f t="shared" si="145"/>
        <v>9.9280827924925443</v>
      </c>
      <c r="AR82" s="59">
        <f t="shared" si="146"/>
        <v>11.997895106121732</v>
      </c>
      <c r="AS82" s="59">
        <f t="shared" si="147"/>
        <v>21.925977898614278</v>
      </c>
      <c r="AT82" s="88">
        <v>0.14019999999999999</v>
      </c>
      <c r="AU82" s="69">
        <v>11.32</v>
      </c>
      <c r="AV82" s="69">
        <v>13.68</v>
      </c>
      <c r="AW82" s="52">
        <f t="shared" si="148"/>
        <v>25</v>
      </c>
      <c r="AX82" s="53">
        <f t="shared" si="149"/>
        <v>67.92</v>
      </c>
      <c r="AY82" s="53">
        <f t="shared" si="150"/>
        <v>82.08</v>
      </c>
      <c r="AZ82" s="53">
        <f t="shared" si="151"/>
        <v>150</v>
      </c>
      <c r="BC82" s="48"/>
      <c r="BJ82" s="55">
        <v>1</v>
      </c>
      <c r="BK82" s="97">
        <f t="shared" ref="BK82:BK120" si="154">BJ82*$AZ82</f>
        <v>150</v>
      </c>
      <c r="BQ82" s="57">
        <f t="shared" si="153"/>
        <v>1</v>
      </c>
      <c r="BR82" s="50">
        <f t="shared" si="137"/>
        <v>150</v>
      </c>
      <c r="BS82" s="39" t="str">
        <f t="shared" si="132"/>
        <v>OK</v>
      </c>
    </row>
    <row r="83" spans="1:71" ht="30" outlineLevel="1" x14ac:dyDescent="0.25">
      <c r="A83" s="8" t="s">
        <v>24</v>
      </c>
      <c r="B83" s="8" t="s">
        <v>129</v>
      </c>
      <c r="C83" s="8" t="s">
        <v>283</v>
      </c>
      <c r="D83" s="67" t="s">
        <v>130</v>
      </c>
      <c r="E83" s="51" t="s">
        <v>9</v>
      </c>
      <c r="F83" s="69">
        <v>12</v>
      </c>
      <c r="G83" s="53">
        <v>6.51</v>
      </c>
      <c r="H83" s="53">
        <v>5.48</v>
      </c>
      <c r="I83" s="53">
        <f t="shared" si="138"/>
        <v>11.99</v>
      </c>
      <c r="J83" s="53">
        <f t="shared" si="139"/>
        <v>143.88</v>
      </c>
      <c r="K83" s="58">
        <v>0.27760000000000001</v>
      </c>
      <c r="L83" s="53">
        <f t="shared" si="140"/>
        <v>99.8</v>
      </c>
      <c r="M83" s="53">
        <f t="shared" si="140"/>
        <v>84.01</v>
      </c>
      <c r="N83" s="53">
        <f t="shared" si="141"/>
        <v>183.81</v>
      </c>
      <c r="Q83" s="48"/>
      <c r="Z83" s="55">
        <v>0.75</v>
      </c>
      <c r="AA83" s="56">
        <f t="shared" si="142"/>
        <v>137.85750000000002</v>
      </c>
      <c r="AB83" s="55">
        <v>0.25</v>
      </c>
      <c r="AC83" s="56">
        <f t="shared" si="143"/>
        <v>45.952500000000001</v>
      </c>
      <c r="AE83" s="57">
        <f t="shared" si="144"/>
        <v>1</v>
      </c>
      <c r="AF83" s="50">
        <f t="shared" si="134"/>
        <v>183.81</v>
      </c>
      <c r="AG83" s="39" t="str">
        <f t="shared" si="135"/>
        <v>OK</v>
      </c>
      <c r="AJ83" s="8" t="s">
        <v>24</v>
      </c>
      <c r="AK83" s="8" t="s">
        <v>129</v>
      </c>
      <c r="AL83" s="8" t="s">
        <v>283</v>
      </c>
      <c r="AM83" s="67" t="s">
        <v>130</v>
      </c>
      <c r="AN83" s="51" t="s">
        <v>9</v>
      </c>
      <c r="AO83" s="87">
        <v>12</v>
      </c>
      <c r="AP83" s="69"/>
      <c r="AQ83" s="59">
        <f t="shared" si="145"/>
        <v>6.6128749342220656</v>
      </c>
      <c r="AR83" s="59">
        <f t="shared" si="146"/>
        <v>7.0777056656726884</v>
      </c>
      <c r="AS83" s="59">
        <f t="shared" si="147"/>
        <v>13.690580599894753</v>
      </c>
      <c r="AT83" s="88">
        <v>0.14019999999999999</v>
      </c>
      <c r="AU83" s="69">
        <v>7.54</v>
      </c>
      <c r="AV83" s="69">
        <v>8.07</v>
      </c>
      <c r="AW83" s="52">
        <f t="shared" si="148"/>
        <v>15.61</v>
      </c>
      <c r="AX83" s="53">
        <f t="shared" si="149"/>
        <v>90.48</v>
      </c>
      <c r="AY83" s="53">
        <f t="shared" si="150"/>
        <v>96.84</v>
      </c>
      <c r="AZ83" s="53">
        <f t="shared" si="151"/>
        <v>187.32</v>
      </c>
      <c r="BC83" s="48"/>
      <c r="BJ83" s="55">
        <v>1</v>
      </c>
      <c r="BK83" s="97">
        <f t="shared" si="154"/>
        <v>187.32</v>
      </c>
      <c r="BQ83" s="57">
        <f t="shared" si="153"/>
        <v>1</v>
      </c>
      <c r="BR83" s="50">
        <f t="shared" si="137"/>
        <v>187.32</v>
      </c>
      <c r="BS83" s="39" t="str">
        <f t="shared" si="132"/>
        <v>OK</v>
      </c>
    </row>
    <row r="84" spans="1:71" ht="30" outlineLevel="1" x14ac:dyDescent="0.25">
      <c r="A84" s="8" t="s">
        <v>24</v>
      </c>
      <c r="B84" s="8" t="s">
        <v>131</v>
      </c>
      <c r="C84" s="8" t="s">
        <v>284</v>
      </c>
      <c r="D84" s="67" t="s">
        <v>132</v>
      </c>
      <c r="E84" s="51" t="s">
        <v>9</v>
      </c>
      <c r="F84" s="69">
        <v>6</v>
      </c>
      <c r="G84" s="53">
        <v>12.56</v>
      </c>
      <c r="H84" s="53">
        <v>0</v>
      </c>
      <c r="I84" s="53">
        <f t="shared" si="138"/>
        <v>12.56</v>
      </c>
      <c r="J84" s="53">
        <f t="shared" si="139"/>
        <v>75.36</v>
      </c>
      <c r="K84" s="58">
        <v>0.27760000000000001</v>
      </c>
      <c r="L84" s="53">
        <f t="shared" si="140"/>
        <v>96.27</v>
      </c>
      <c r="M84" s="53">
        <f t="shared" si="140"/>
        <v>0</v>
      </c>
      <c r="N84" s="53">
        <f t="shared" si="141"/>
        <v>96.27</v>
      </c>
      <c r="Q84" s="48"/>
      <c r="Z84" s="55">
        <v>0.75</v>
      </c>
      <c r="AA84" s="56">
        <f t="shared" si="142"/>
        <v>72.202500000000001</v>
      </c>
      <c r="AB84" s="55">
        <v>0.25</v>
      </c>
      <c r="AC84" s="56">
        <f t="shared" si="143"/>
        <v>24.067499999999999</v>
      </c>
      <c r="AE84" s="57">
        <f t="shared" si="144"/>
        <v>1</v>
      </c>
      <c r="AF84" s="50">
        <f t="shared" si="134"/>
        <v>96.27</v>
      </c>
      <c r="AG84" s="39" t="str">
        <f t="shared" si="135"/>
        <v>OK</v>
      </c>
      <c r="AJ84" s="8" t="s">
        <v>24</v>
      </c>
      <c r="AK84" s="8" t="s">
        <v>131</v>
      </c>
      <c r="AL84" s="8" t="s">
        <v>284</v>
      </c>
      <c r="AM84" s="67" t="s">
        <v>132</v>
      </c>
      <c r="AN84" s="51" t="s">
        <v>9</v>
      </c>
      <c r="AO84" s="87">
        <v>6</v>
      </c>
      <c r="AP84" s="69"/>
      <c r="AQ84" s="59">
        <f t="shared" si="145"/>
        <v>0</v>
      </c>
      <c r="AR84" s="59">
        <f t="shared" si="146"/>
        <v>4.087002280301701</v>
      </c>
      <c r="AS84" s="59">
        <f t="shared" si="147"/>
        <v>4.087002280301701</v>
      </c>
      <c r="AT84" s="88">
        <v>0.14019999999999999</v>
      </c>
      <c r="AU84" s="69">
        <v>0</v>
      </c>
      <c r="AV84" s="69">
        <v>4.66</v>
      </c>
      <c r="AW84" s="52">
        <f t="shared" si="148"/>
        <v>4.66</v>
      </c>
      <c r="AX84" s="53">
        <f t="shared" si="149"/>
        <v>0</v>
      </c>
      <c r="AY84" s="53">
        <f t="shared" si="150"/>
        <v>27.96</v>
      </c>
      <c r="AZ84" s="53">
        <f t="shared" si="151"/>
        <v>27.96</v>
      </c>
      <c r="BC84" s="48"/>
      <c r="BJ84" s="55">
        <v>1</v>
      </c>
      <c r="BK84" s="97">
        <f t="shared" si="154"/>
        <v>27.96</v>
      </c>
      <c r="BQ84" s="57">
        <f t="shared" si="153"/>
        <v>1</v>
      </c>
      <c r="BR84" s="50">
        <f t="shared" si="137"/>
        <v>27.96</v>
      </c>
      <c r="BS84" s="39" t="str">
        <f t="shared" si="132"/>
        <v>OK</v>
      </c>
    </row>
    <row r="85" spans="1:71" outlineLevel="1" x14ac:dyDescent="0.25">
      <c r="A85" s="8" t="s">
        <v>24</v>
      </c>
      <c r="B85" s="8" t="s">
        <v>133</v>
      </c>
      <c r="C85" s="8" t="s">
        <v>285</v>
      </c>
      <c r="D85" s="67" t="s">
        <v>134</v>
      </c>
      <c r="E85" s="51" t="s">
        <v>9</v>
      </c>
      <c r="F85" s="69">
        <v>6</v>
      </c>
      <c r="G85" s="53">
        <v>2.04</v>
      </c>
      <c r="H85" s="53">
        <v>0</v>
      </c>
      <c r="I85" s="53">
        <f t="shared" si="138"/>
        <v>2.04</v>
      </c>
      <c r="J85" s="53">
        <f t="shared" si="139"/>
        <v>12.24</v>
      </c>
      <c r="K85" s="58">
        <v>0.27760000000000001</v>
      </c>
      <c r="L85" s="53">
        <f t="shared" si="140"/>
        <v>15.63</v>
      </c>
      <c r="M85" s="53">
        <f t="shared" si="140"/>
        <v>0</v>
      </c>
      <c r="N85" s="53">
        <f t="shared" si="141"/>
        <v>15.63</v>
      </c>
      <c r="Q85" s="48"/>
      <c r="Z85" s="55">
        <v>0.75</v>
      </c>
      <c r="AA85" s="56">
        <f t="shared" si="142"/>
        <v>11.7225</v>
      </c>
      <c r="AB85" s="55">
        <v>0.25</v>
      </c>
      <c r="AC85" s="56">
        <f t="shared" si="143"/>
        <v>3.9075000000000002</v>
      </c>
      <c r="AE85" s="57">
        <f t="shared" si="144"/>
        <v>1</v>
      </c>
      <c r="AF85" s="50">
        <f t="shared" si="134"/>
        <v>15.63</v>
      </c>
      <c r="AG85" s="39" t="str">
        <f t="shared" si="135"/>
        <v>OK</v>
      </c>
      <c r="AJ85" s="8" t="s">
        <v>24</v>
      </c>
      <c r="AK85" s="8" t="s">
        <v>133</v>
      </c>
      <c r="AL85" s="8" t="s">
        <v>285</v>
      </c>
      <c r="AM85" s="67" t="s">
        <v>134</v>
      </c>
      <c r="AN85" s="51" t="s">
        <v>9</v>
      </c>
      <c r="AO85" s="87">
        <v>6</v>
      </c>
      <c r="AP85" s="69"/>
      <c r="AQ85" s="59">
        <f t="shared" si="145"/>
        <v>0</v>
      </c>
      <c r="AR85" s="59">
        <f t="shared" si="146"/>
        <v>2.1838273987019821</v>
      </c>
      <c r="AS85" s="59">
        <f t="shared" si="147"/>
        <v>2.1838273987019821</v>
      </c>
      <c r="AT85" s="88">
        <v>0.14019999999999999</v>
      </c>
      <c r="AU85" s="69">
        <v>0</v>
      </c>
      <c r="AV85" s="69">
        <v>2.4900000000000002</v>
      </c>
      <c r="AW85" s="52">
        <f t="shared" si="148"/>
        <v>2.4900000000000002</v>
      </c>
      <c r="AX85" s="53">
        <f t="shared" si="149"/>
        <v>0</v>
      </c>
      <c r="AY85" s="53">
        <f t="shared" si="150"/>
        <v>14.940000000000001</v>
      </c>
      <c r="AZ85" s="53">
        <f t="shared" si="151"/>
        <v>14.940000000000001</v>
      </c>
      <c r="BC85" s="48"/>
      <c r="BJ85" s="55">
        <v>1</v>
      </c>
      <c r="BK85" s="97">
        <f t="shared" si="154"/>
        <v>14.940000000000001</v>
      </c>
      <c r="BQ85" s="57">
        <f t="shared" si="153"/>
        <v>1</v>
      </c>
      <c r="BR85" s="50">
        <f t="shared" si="137"/>
        <v>14.940000000000001</v>
      </c>
      <c r="BS85" s="39" t="str">
        <f t="shared" si="132"/>
        <v>OK</v>
      </c>
    </row>
    <row r="86" spans="1:71" outlineLevel="1" x14ac:dyDescent="0.25">
      <c r="A86" s="8" t="s">
        <v>24</v>
      </c>
      <c r="B86" s="8" t="s">
        <v>135</v>
      </c>
      <c r="C86" s="8" t="s">
        <v>286</v>
      </c>
      <c r="D86" s="67" t="s">
        <v>136</v>
      </c>
      <c r="E86" s="51" t="s">
        <v>9</v>
      </c>
      <c r="F86" s="69">
        <v>6</v>
      </c>
      <c r="G86" s="53">
        <v>0.97</v>
      </c>
      <c r="H86" s="53">
        <v>0</v>
      </c>
      <c r="I86" s="53">
        <f t="shared" si="138"/>
        <v>0.97</v>
      </c>
      <c r="J86" s="53">
        <f t="shared" si="139"/>
        <v>5.82</v>
      </c>
      <c r="K86" s="58">
        <v>0.27760000000000001</v>
      </c>
      <c r="L86" s="53">
        <f t="shared" si="140"/>
        <v>7.43</v>
      </c>
      <c r="M86" s="53">
        <f t="shared" si="140"/>
        <v>0</v>
      </c>
      <c r="N86" s="53">
        <f t="shared" si="141"/>
        <v>7.43</v>
      </c>
      <c r="Q86" s="48"/>
      <c r="Z86" s="55">
        <v>0.75</v>
      </c>
      <c r="AA86" s="56">
        <f t="shared" si="142"/>
        <v>5.5724999999999998</v>
      </c>
      <c r="AB86" s="55">
        <v>0.25</v>
      </c>
      <c r="AC86" s="56">
        <f t="shared" si="143"/>
        <v>1.8574999999999999</v>
      </c>
      <c r="AE86" s="57">
        <f t="shared" si="144"/>
        <v>1</v>
      </c>
      <c r="AF86" s="50">
        <f t="shared" si="134"/>
        <v>7.43</v>
      </c>
      <c r="AG86" s="39" t="str">
        <f t="shared" si="135"/>
        <v>OK</v>
      </c>
      <c r="AJ86" s="8" t="s">
        <v>24</v>
      </c>
      <c r="AK86" s="8" t="s">
        <v>135</v>
      </c>
      <c r="AL86" s="8" t="s">
        <v>286</v>
      </c>
      <c r="AM86" s="67" t="s">
        <v>136</v>
      </c>
      <c r="AN86" s="51" t="s">
        <v>9</v>
      </c>
      <c r="AO86" s="87">
        <v>6</v>
      </c>
      <c r="AP86" s="69"/>
      <c r="AQ86" s="59">
        <f t="shared" si="145"/>
        <v>0</v>
      </c>
      <c r="AR86" s="59">
        <f t="shared" si="146"/>
        <v>1.0436765479740395</v>
      </c>
      <c r="AS86" s="59">
        <f t="shared" si="147"/>
        <v>1.0436765479740395</v>
      </c>
      <c r="AT86" s="88">
        <v>0.14019999999999999</v>
      </c>
      <c r="AU86" s="69">
        <v>0</v>
      </c>
      <c r="AV86" s="69">
        <v>1.19</v>
      </c>
      <c r="AW86" s="52">
        <f t="shared" si="148"/>
        <v>1.19</v>
      </c>
      <c r="AX86" s="53">
        <f t="shared" si="149"/>
        <v>0</v>
      </c>
      <c r="AY86" s="53">
        <f t="shared" si="150"/>
        <v>7.14</v>
      </c>
      <c r="AZ86" s="53">
        <f t="shared" si="151"/>
        <v>7.14</v>
      </c>
      <c r="BC86" s="48"/>
      <c r="BJ86" s="55">
        <v>1</v>
      </c>
      <c r="BK86" s="97">
        <f t="shared" si="154"/>
        <v>7.14</v>
      </c>
      <c r="BQ86" s="57">
        <f t="shared" si="153"/>
        <v>1</v>
      </c>
      <c r="BR86" s="50">
        <f t="shared" si="137"/>
        <v>7.14</v>
      </c>
      <c r="BS86" s="39" t="str">
        <f t="shared" si="132"/>
        <v>OK</v>
      </c>
    </row>
    <row r="87" spans="1:71" ht="30" outlineLevel="1" x14ac:dyDescent="0.25">
      <c r="A87" s="8" t="s">
        <v>24</v>
      </c>
      <c r="B87" s="8" t="s">
        <v>137</v>
      </c>
      <c r="C87" s="8" t="s">
        <v>288</v>
      </c>
      <c r="D87" s="67" t="s">
        <v>138</v>
      </c>
      <c r="E87" s="51" t="s">
        <v>9</v>
      </c>
      <c r="F87" s="69">
        <v>3</v>
      </c>
      <c r="G87" s="53">
        <v>22.52</v>
      </c>
      <c r="H87" s="53">
        <v>0</v>
      </c>
      <c r="I87" s="53">
        <f t="shared" si="138"/>
        <v>22.52</v>
      </c>
      <c r="J87" s="53">
        <f t="shared" si="139"/>
        <v>67.56</v>
      </c>
      <c r="K87" s="58">
        <v>0.27760000000000001</v>
      </c>
      <c r="L87" s="53">
        <f t="shared" si="140"/>
        <v>86.31</v>
      </c>
      <c r="M87" s="53">
        <f t="shared" si="140"/>
        <v>0</v>
      </c>
      <c r="N87" s="53">
        <f t="shared" si="141"/>
        <v>86.31</v>
      </c>
      <c r="Q87" s="48"/>
      <c r="Z87" s="55">
        <v>0.75</v>
      </c>
      <c r="AA87" s="56">
        <f t="shared" si="142"/>
        <v>64.732500000000002</v>
      </c>
      <c r="AB87" s="55">
        <v>0.25</v>
      </c>
      <c r="AC87" s="56">
        <f t="shared" si="143"/>
        <v>21.577500000000001</v>
      </c>
      <c r="AE87" s="57">
        <f t="shared" si="144"/>
        <v>1</v>
      </c>
      <c r="AF87" s="50">
        <f t="shared" si="134"/>
        <v>86.31</v>
      </c>
      <c r="AG87" s="39" t="str">
        <f t="shared" si="135"/>
        <v>OK</v>
      </c>
      <c r="AJ87" s="8" t="s">
        <v>24</v>
      </c>
      <c r="AK87" s="8" t="s">
        <v>137</v>
      </c>
      <c r="AL87" s="8" t="s">
        <v>288</v>
      </c>
      <c r="AM87" s="67" t="s">
        <v>138</v>
      </c>
      <c r="AN87" s="51" t="s">
        <v>9</v>
      </c>
      <c r="AO87" s="87">
        <v>3</v>
      </c>
      <c r="AP87" s="69"/>
      <c r="AQ87" s="59">
        <f t="shared" si="145"/>
        <v>0</v>
      </c>
      <c r="AR87" s="59">
        <f t="shared" si="146"/>
        <v>24.215049991229606</v>
      </c>
      <c r="AS87" s="59">
        <f t="shared" si="147"/>
        <v>24.215049991229606</v>
      </c>
      <c r="AT87" s="88">
        <v>0.14019999999999999</v>
      </c>
      <c r="AU87" s="69">
        <v>0</v>
      </c>
      <c r="AV87" s="69">
        <v>27.61</v>
      </c>
      <c r="AW87" s="52">
        <f t="shared" si="148"/>
        <v>27.61</v>
      </c>
      <c r="AX87" s="53">
        <f t="shared" si="149"/>
        <v>0</v>
      </c>
      <c r="AY87" s="53">
        <f t="shared" si="150"/>
        <v>82.83</v>
      </c>
      <c r="AZ87" s="53">
        <f t="shared" si="151"/>
        <v>82.83</v>
      </c>
      <c r="BC87" s="48"/>
      <c r="BJ87" s="55">
        <v>1</v>
      </c>
      <c r="BK87" s="97">
        <f t="shared" si="154"/>
        <v>82.83</v>
      </c>
      <c r="BQ87" s="57">
        <f t="shared" si="153"/>
        <v>1</v>
      </c>
      <c r="BR87" s="50">
        <f t="shared" si="137"/>
        <v>82.83</v>
      </c>
      <c r="BS87" s="39" t="str">
        <f t="shared" si="132"/>
        <v>OK</v>
      </c>
    </row>
    <row r="88" spans="1:71" ht="30" outlineLevel="1" x14ac:dyDescent="0.25">
      <c r="A88" s="8" t="s">
        <v>24</v>
      </c>
      <c r="B88" s="8" t="s">
        <v>139</v>
      </c>
      <c r="C88" s="8" t="s">
        <v>289</v>
      </c>
      <c r="D88" s="67" t="s">
        <v>140</v>
      </c>
      <c r="E88" s="51" t="s">
        <v>9</v>
      </c>
      <c r="F88" s="52">
        <v>6</v>
      </c>
      <c r="G88" s="53">
        <v>46.16</v>
      </c>
      <c r="H88" s="53">
        <v>0</v>
      </c>
      <c r="I88" s="53">
        <f t="shared" si="138"/>
        <v>46.16</v>
      </c>
      <c r="J88" s="53">
        <f t="shared" si="139"/>
        <v>276.95999999999998</v>
      </c>
      <c r="K88" s="58">
        <v>0.27760000000000001</v>
      </c>
      <c r="L88" s="53">
        <f t="shared" si="140"/>
        <v>353.84</v>
      </c>
      <c r="M88" s="53">
        <f t="shared" si="140"/>
        <v>0</v>
      </c>
      <c r="N88" s="53">
        <f t="shared" si="141"/>
        <v>353.84</v>
      </c>
      <c r="Q88" s="48"/>
      <c r="Z88" s="55">
        <v>0.75</v>
      </c>
      <c r="AA88" s="56">
        <f t="shared" si="142"/>
        <v>265.38</v>
      </c>
      <c r="AB88" s="55">
        <v>0.25</v>
      </c>
      <c r="AC88" s="56">
        <f t="shared" si="143"/>
        <v>88.46</v>
      </c>
      <c r="AE88" s="57">
        <f t="shared" si="144"/>
        <v>1</v>
      </c>
      <c r="AF88" s="50">
        <f t="shared" si="134"/>
        <v>353.84</v>
      </c>
      <c r="AG88" s="39" t="str">
        <f t="shared" si="135"/>
        <v>OK</v>
      </c>
      <c r="AJ88" s="8" t="s">
        <v>24</v>
      </c>
      <c r="AK88" s="8" t="s">
        <v>139</v>
      </c>
      <c r="AL88" s="8" t="s">
        <v>289</v>
      </c>
      <c r="AM88" s="67" t="s">
        <v>140</v>
      </c>
      <c r="AN88" s="51" t="s">
        <v>9</v>
      </c>
      <c r="AO88" s="84">
        <v>6</v>
      </c>
      <c r="AP88" s="52"/>
      <c r="AQ88" s="59">
        <f t="shared" si="145"/>
        <v>0</v>
      </c>
      <c r="AR88" s="59">
        <f t="shared" si="146"/>
        <v>46.158568672162779</v>
      </c>
      <c r="AS88" s="59">
        <f t="shared" si="147"/>
        <v>46.158568672162779</v>
      </c>
      <c r="AT88" s="88">
        <v>0.14019999999999999</v>
      </c>
      <c r="AU88" s="52">
        <v>0</v>
      </c>
      <c r="AV88" s="52">
        <v>52.63</v>
      </c>
      <c r="AW88" s="52">
        <f t="shared" si="148"/>
        <v>52.63</v>
      </c>
      <c r="AX88" s="53">
        <f t="shared" si="149"/>
        <v>0</v>
      </c>
      <c r="AY88" s="53">
        <f t="shared" si="150"/>
        <v>315.78000000000003</v>
      </c>
      <c r="AZ88" s="53">
        <f t="shared" si="151"/>
        <v>315.78000000000003</v>
      </c>
      <c r="BC88" s="48"/>
      <c r="BJ88" s="55">
        <v>1</v>
      </c>
      <c r="BK88" s="97">
        <f t="shared" si="154"/>
        <v>315.78000000000003</v>
      </c>
      <c r="BQ88" s="57">
        <f t="shared" si="153"/>
        <v>1</v>
      </c>
      <c r="BR88" s="50">
        <f t="shared" si="137"/>
        <v>315.78000000000003</v>
      </c>
      <c r="BS88" s="39" t="str">
        <f t="shared" si="132"/>
        <v>OK</v>
      </c>
    </row>
    <row r="89" spans="1:71" ht="30" outlineLevel="1" x14ac:dyDescent="0.25">
      <c r="A89" s="8" t="s">
        <v>24</v>
      </c>
      <c r="B89" s="8" t="s">
        <v>141</v>
      </c>
      <c r="C89" s="8" t="s">
        <v>287</v>
      </c>
      <c r="D89" s="9" t="s">
        <v>142</v>
      </c>
      <c r="E89" s="51" t="s">
        <v>9</v>
      </c>
      <c r="F89" s="69">
        <v>1</v>
      </c>
      <c r="G89" s="53">
        <v>63.66</v>
      </c>
      <c r="H89" s="53">
        <v>4.21</v>
      </c>
      <c r="I89" s="53">
        <f t="shared" si="138"/>
        <v>67.86999999999999</v>
      </c>
      <c r="J89" s="53">
        <f t="shared" si="139"/>
        <v>67.87</v>
      </c>
      <c r="K89" s="58">
        <v>0.27760000000000001</v>
      </c>
      <c r="L89" s="53">
        <f t="shared" si="140"/>
        <v>81.33</v>
      </c>
      <c r="M89" s="53">
        <f t="shared" si="140"/>
        <v>5.37</v>
      </c>
      <c r="N89" s="53">
        <f t="shared" si="141"/>
        <v>86.7</v>
      </c>
      <c r="Q89" s="48"/>
      <c r="Z89" s="55">
        <v>0.75</v>
      </c>
      <c r="AA89" s="56">
        <f t="shared" si="142"/>
        <v>65.025000000000006</v>
      </c>
      <c r="AB89" s="55">
        <v>0.25</v>
      </c>
      <c r="AC89" s="56">
        <f t="shared" si="143"/>
        <v>21.675000000000001</v>
      </c>
      <c r="AE89" s="57">
        <f t="shared" si="144"/>
        <v>1</v>
      </c>
      <c r="AF89" s="50">
        <f t="shared" si="134"/>
        <v>86.7</v>
      </c>
      <c r="AG89" s="39" t="str">
        <f t="shared" si="135"/>
        <v>OK</v>
      </c>
      <c r="AJ89" s="8" t="s">
        <v>24</v>
      </c>
      <c r="AK89" s="8" t="s">
        <v>141</v>
      </c>
      <c r="AL89" s="8" t="s">
        <v>287</v>
      </c>
      <c r="AM89" s="9" t="s">
        <v>142</v>
      </c>
      <c r="AN89" s="51" t="s">
        <v>9</v>
      </c>
      <c r="AO89" s="87">
        <v>1</v>
      </c>
      <c r="AP89" s="69"/>
      <c r="AQ89" s="59">
        <f t="shared" si="145"/>
        <v>5.1043676547974037</v>
      </c>
      <c r="AR89" s="59">
        <f t="shared" si="146"/>
        <v>63.181897912646903</v>
      </c>
      <c r="AS89" s="59">
        <f t="shared" si="147"/>
        <v>68.286265567444318</v>
      </c>
      <c r="AT89" s="88">
        <v>0.14019999999999999</v>
      </c>
      <c r="AU89" s="69">
        <v>5.82</v>
      </c>
      <c r="AV89" s="69">
        <v>72.040000000000006</v>
      </c>
      <c r="AW89" s="52">
        <f t="shared" si="148"/>
        <v>77.860000000000014</v>
      </c>
      <c r="AX89" s="53">
        <f t="shared" si="149"/>
        <v>5.82</v>
      </c>
      <c r="AY89" s="53">
        <f t="shared" si="150"/>
        <v>72.040000000000006</v>
      </c>
      <c r="AZ89" s="53">
        <f t="shared" si="151"/>
        <v>77.860000000000014</v>
      </c>
      <c r="BC89" s="48"/>
      <c r="BJ89" s="55">
        <v>1</v>
      </c>
      <c r="BK89" s="97">
        <f t="shared" si="154"/>
        <v>77.860000000000014</v>
      </c>
      <c r="BQ89" s="57">
        <f t="shared" si="153"/>
        <v>1</v>
      </c>
      <c r="BR89" s="50">
        <f t="shared" si="137"/>
        <v>77.860000000000014</v>
      </c>
      <c r="BS89" s="39" t="str">
        <f t="shared" si="132"/>
        <v>OK</v>
      </c>
    </row>
    <row r="90" spans="1:71" ht="30" outlineLevel="1" x14ac:dyDescent="0.25">
      <c r="A90" s="8" t="s">
        <v>24</v>
      </c>
      <c r="B90" s="8" t="s">
        <v>143</v>
      </c>
      <c r="C90" s="8" t="s">
        <v>290</v>
      </c>
      <c r="D90" s="9" t="s">
        <v>144</v>
      </c>
      <c r="E90" s="51" t="s">
        <v>9</v>
      </c>
      <c r="F90" s="69">
        <v>1</v>
      </c>
      <c r="G90" s="53">
        <v>115.39</v>
      </c>
      <c r="H90" s="53">
        <v>0</v>
      </c>
      <c r="I90" s="53">
        <f t="shared" si="138"/>
        <v>115.39</v>
      </c>
      <c r="J90" s="53">
        <f t="shared" si="139"/>
        <v>115.39</v>
      </c>
      <c r="K90" s="58">
        <v>0.27760000000000001</v>
      </c>
      <c r="L90" s="53">
        <f t="shared" si="140"/>
        <v>147.41999999999999</v>
      </c>
      <c r="M90" s="53">
        <f t="shared" si="140"/>
        <v>0</v>
      </c>
      <c r="N90" s="53">
        <f t="shared" si="141"/>
        <v>147.41999999999999</v>
      </c>
      <c r="Q90" s="48"/>
      <c r="Z90" s="55">
        <v>0.75</v>
      </c>
      <c r="AA90" s="56">
        <f t="shared" si="142"/>
        <v>110.565</v>
      </c>
      <c r="AB90" s="55">
        <v>0.25</v>
      </c>
      <c r="AC90" s="56">
        <f t="shared" si="143"/>
        <v>36.854999999999997</v>
      </c>
      <c r="AE90" s="57">
        <f t="shared" si="144"/>
        <v>1</v>
      </c>
      <c r="AF90" s="50">
        <f t="shared" si="134"/>
        <v>147.41999999999999</v>
      </c>
      <c r="AG90" s="39" t="str">
        <f t="shared" si="135"/>
        <v>OK</v>
      </c>
      <c r="AJ90" s="8" t="s">
        <v>24</v>
      </c>
      <c r="AK90" s="8" t="s">
        <v>143</v>
      </c>
      <c r="AL90" s="8" t="s">
        <v>290</v>
      </c>
      <c r="AM90" s="9" t="s">
        <v>144</v>
      </c>
      <c r="AN90" s="51" t="s">
        <v>9</v>
      </c>
      <c r="AO90" s="87">
        <v>1</v>
      </c>
      <c r="AP90" s="69"/>
      <c r="AQ90" s="59">
        <f t="shared" si="145"/>
        <v>0</v>
      </c>
      <c r="AR90" s="59">
        <f t="shared" si="146"/>
        <v>119.86493597614451</v>
      </c>
      <c r="AS90" s="59">
        <f t="shared" si="147"/>
        <v>119.86493597614451</v>
      </c>
      <c r="AT90" s="88">
        <v>0.14019999999999999</v>
      </c>
      <c r="AU90" s="69">
        <v>0</v>
      </c>
      <c r="AV90" s="69">
        <v>136.66999999999999</v>
      </c>
      <c r="AW90" s="52">
        <f t="shared" si="148"/>
        <v>136.66999999999999</v>
      </c>
      <c r="AX90" s="53">
        <f t="shared" si="149"/>
        <v>0</v>
      </c>
      <c r="AY90" s="53">
        <f t="shared" si="150"/>
        <v>136.66999999999999</v>
      </c>
      <c r="AZ90" s="53">
        <f t="shared" si="151"/>
        <v>136.66999999999999</v>
      </c>
      <c r="BC90" s="48"/>
      <c r="BJ90" s="55">
        <v>1</v>
      </c>
      <c r="BK90" s="97">
        <f t="shared" si="154"/>
        <v>136.66999999999999</v>
      </c>
      <c r="BQ90" s="57">
        <f t="shared" si="153"/>
        <v>1</v>
      </c>
      <c r="BR90" s="50">
        <f t="shared" si="137"/>
        <v>136.66999999999999</v>
      </c>
      <c r="BS90" s="39" t="str">
        <f t="shared" si="132"/>
        <v>OK</v>
      </c>
    </row>
    <row r="91" spans="1:71" ht="30" outlineLevel="1" x14ac:dyDescent="0.25">
      <c r="A91" s="8" t="s">
        <v>24</v>
      </c>
      <c r="B91" s="8" t="s">
        <v>179</v>
      </c>
      <c r="C91" s="8" t="s">
        <v>246</v>
      </c>
      <c r="D91" s="9" t="s">
        <v>42</v>
      </c>
      <c r="E91" s="51" t="s">
        <v>84</v>
      </c>
      <c r="F91" s="69">
        <v>200</v>
      </c>
      <c r="G91" s="53">
        <v>6.91</v>
      </c>
      <c r="H91" s="53">
        <v>1.62</v>
      </c>
      <c r="I91" s="53">
        <f t="shared" si="138"/>
        <v>8.5300000000000011</v>
      </c>
      <c r="J91" s="53">
        <f t="shared" si="139"/>
        <v>1706</v>
      </c>
      <c r="K91" s="58">
        <v>0.27760000000000001</v>
      </c>
      <c r="L91" s="53">
        <f t="shared" si="140"/>
        <v>1765.64</v>
      </c>
      <c r="M91" s="53">
        <f t="shared" si="140"/>
        <v>413.94</v>
      </c>
      <c r="N91" s="53">
        <f t="shared" si="141"/>
        <v>2179.58</v>
      </c>
      <c r="Q91" s="48"/>
      <c r="Z91" s="55">
        <v>0.75</v>
      </c>
      <c r="AA91" s="56">
        <f t="shared" si="142"/>
        <v>1634.6849999999999</v>
      </c>
      <c r="AB91" s="55">
        <v>0.25</v>
      </c>
      <c r="AC91" s="56">
        <f t="shared" si="143"/>
        <v>544.89499999999998</v>
      </c>
      <c r="AE91" s="57">
        <f t="shared" si="144"/>
        <v>1</v>
      </c>
      <c r="AF91" s="50">
        <f t="shared" si="134"/>
        <v>2179.58</v>
      </c>
      <c r="AG91" s="39" t="str">
        <f t="shared" si="135"/>
        <v>OK</v>
      </c>
      <c r="AJ91" s="8" t="s">
        <v>24</v>
      </c>
      <c r="AK91" s="8" t="s">
        <v>179</v>
      </c>
      <c r="AL91" s="8" t="s">
        <v>246</v>
      </c>
      <c r="AM91" s="9" t="s">
        <v>42</v>
      </c>
      <c r="AN91" s="51" t="s">
        <v>84</v>
      </c>
      <c r="AO91" s="87">
        <v>200</v>
      </c>
      <c r="AP91" s="69"/>
      <c r="AQ91" s="59">
        <f t="shared" si="145"/>
        <v>1.9645676197158393</v>
      </c>
      <c r="AR91" s="59">
        <f t="shared" si="146"/>
        <v>6.3936151552359233</v>
      </c>
      <c r="AS91" s="59">
        <f t="shared" si="147"/>
        <v>8.3581827749517625</v>
      </c>
      <c r="AT91" s="88">
        <v>0.14019999999999999</v>
      </c>
      <c r="AU91" s="69">
        <v>2.2400000000000002</v>
      </c>
      <c r="AV91" s="69">
        <v>7.29</v>
      </c>
      <c r="AW91" s="52">
        <f t="shared" si="148"/>
        <v>9.5300000000000011</v>
      </c>
      <c r="AX91" s="53">
        <f t="shared" si="149"/>
        <v>448.00000000000006</v>
      </c>
      <c r="AY91" s="53">
        <f t="shared" si="150"/>
        <v>1458</v>
      </c>
      <c r="AZ91" s="53">
        <f t="shared" si="151"/>
        <v>1906.0000000000002</v>
      </c>
      <c r="BC91" s="48"/>
      <c r="BJ91" s="55">
        <v>1</v>
      </c>
      <c r="BK91" s="97">
        <f t="shared" si="154"/>
        <v>1906.0000000000002</v>
      </c>
      <c r="BQ91" s="57">
        <f t="shared" si="153"/>
        <v>1</v>
      </c>
      <c r="BR91" s="50">
        <f t="shared" si="137"/>
        <v>1906.0000000000002</v>
      </c>
      <c r="BS91" s="39" t="str">
        <f t="shared" si="132"/>
        <v>OK</v>
      </c>
    </row>
    <row r="92" spans="1:71" ht="30" outlineLevel="1" x14ac:dyDescent="0.25">
      <c r="A92" s="8" t="s">
        <v>24</v>
      </c>
      <c r="B92" s="8" t="s">
        <v>145</v>
      </c>
      <c r="C92" s="8" t="s">
        <v>276</v>
      </c>
      <c r="D92" s="67" t="s">
        <v>105</v>
      </c>
      <c r="E92" s="51" t="s">
        <v>9</v>
      </c>
      <c r="F92" s="52">
        <v>40</v>
      </c>
      <c r="G92" s="53">
        <v>3.41</v>
      </c>
      <c r="H92" s="53">
        <v>0</v>
      </c>
      <c r="I92" s="53">
        <f t="shared" si="138"/>
        <v>3.41</v>
      </c>
      <c r="J92" s="53">
        <f t="shared" si="139"/>
        <v>136.4</v>
      </c>
      <c r="K92" s="58">
        <v>0.27760000000000001</v>
      </c>
      <c r="L92" s="53">
        <f t="shared" si="140"/>
        <v>174.26</v>
      </c>
      <c r="M92" s="53">
        <f t="shared" si="140"/>
        <v>0</v>
      </c>
      <c r="N92" s="53">
        <f t="shared" si="141"/>
        <v>174.26</v>
      </c>
      <c r="Q92" s="48"/>
      <c r="Z92" s="55">
        <v>0.75</v>
      </c>
      <c r="AA92" s="56">
        <f t="shared" si="142"/>
        <v>130.69499999999999</v>
      </c>
      <c r="AB92" s="55">
        <v>0.25</v>
      </c>
      <c r="AC92" s="56">
        <f t="shared" si="143"/>
        <v>43.564999999999998</v>
      </c>
      <c r="AE92" s="57">
        <f t="shared" si="144"/>
        <v>1</v>
      </c>
      <c r="AF92" s="50">
        <f t="shared" si="134"/>
        <v>174.26</v>
      </c>
      <c r="AG92" s="39" t="str">
        <f t="shared" si="135"/>
        <v>OK</v>
      </c>
      <c r="AJ92" s="8" t="s">
        <v>24</v>
      </c>
      <c r="AK92" s="8" t="s">
        <v>145</v>
      </c>
      <c r="AL92" s="8" t="s">
        <v>276</v>
      </c>
      <c r="AM92" s="67" t="s">
        <v>105</v>
      </c>
      <c r="AN92" s="51" t="s">
        <v>9</v>
      </c>
      <c r="AO92" s="84">
        <v>40</v>
      </c>
      <c r="AP92" s="52"/>
      <c r="AQ92" s="59">
        <f t="shared" si="145"/>
        <v>0</v>
      </c>
      <c r="AR92" s="59">
        <f t="shared" si="146"/>
        <v>3.4029117698649354</v>
      </c>
      <c r="AS92" s="59">
        <f t="shared" si="147"/>
        <v>3.4029117698649354</v>
      </c>
      <c r="AT92" s="88">
        <v>0.14019999999999999</v>
      </c>
      <c r="AU92" s="52">
        <v>0</v>
      </c>
      <c r="AV92" s="52">
        <v>3.88</v>
      </c>
      <c r="AW92" s="52">
        <f t="shared" si="148"/>
        <v>3.88</v>
      </c>
      <c r="AX92" s="53">
        <f t="shared" si="149"/>
        <v>0</v>
      </c>
      <c r="AY92" s="53">
        <f t="shared" si="150"/>
        <v>155.19999999999999</v>
      </c>
      <c r="AZ92" s="53">
        <f t="shared" si="151"/>
        <v>155.19999999999999</v>
      </c>
      <c r="BC92" s="48"/>
      <c r="BJ92" s="55">
        <v>1</v>
      </c>
      <c r="BK92" s="97">
        <f t="shared" si="154"/>
        <v>155.19999999999999</v>
      </c>
      <c r="BQ92" s="57">
        <f t="shared" si="153"/>
        <v>1</v>
      </c>
      <c r="BR92" s="50">
        <f t="shared" si="137"/>
        <v>155.19999999999999</v>
      </c>
      <c r="BS92" s="39" t="str">
        <f t="shared" si="132"/>
        <v>OK</v>
      </c>
    </row>
    <row r="93" spans="1:71" outlineLevel="1" x14ac:dyDescent="0.25">
      <c r="A93" s="8" t="s">
        <v>24</v>
      </c>
      <c r="B93" s="8" t="s">
        <v>146</v>
      </c>
      <c r="C93" s="8" t="s">
        <v>256</v>
      </c>
      <c r="D93" s="9" t="s">
        <v>261</v>
      </c>
      <c r="E93" s="8" t="s">
        <v>69</v>
      </c>
      <c r="F93" s="59">
        <v>8</v>
      </c>
      <c r="G93" s="53">
        <v>4.5599999999999996</v>
      </c>
      <c r="H93" s="53">
        <v>12.49</v>
      </c>
      <c r="I93" s="53">
        <f t="shared" si="138"/>
        <v>17.05</v>
      </c>
      <c r="J93" s="53">
        <f t="shared" si="139"/>
        <v>136.4</v>
      </c>
      <c r="K93" s="58">
        <v>0.27760000000000001</v>
      </c>
      <c r="L93" s="53">
        <f t="shared" si="140"/>
        <v>46.6</v>
      </c>
      <c r="M93" s="53">
        <f t="shared" si="140"/>
        <v>127.65</v>
      </c>
      <c r="N93" s="53">
        <f t="shared" si="141"/>
        <v>174.25</v>
      </c>
      <c r="Q93" s="48"/>
      <c r="Z93" s="55">
        <v>0.75</v>
      </c>
      <c r="AA93" s="56">
        <f t="shared" si="142"/>
        <v>130.6875</v>
      </c>
      <c r="AB93" s="55">
        <v>0.25</v>
      </c>
      <c r="AC93" s="56">
        <f t="shared" si="143"/>
        <v>43.5625</v>
      </c>
      <c r="AE93" s="57">
        <f t="shared" si="144"/>
        <v>1</v>
      </c>
      <c r="AF93" s="50">
        <f t="shared" si="134"/>
        <v>174.25</v>
      </c>
      <c r="AG93" s="39" t="str">
        <f t="shared" si="135"/>
        <v>OK</v>
      </c>
      <c r="AJ93" s="8" t="s">
        <v>24</v>
      </c>
      <c r="AK93" s="8" t="s">
        <v>146</v>
      </c>
      <c r="AL93" s="8" t="s">
        <v>256</v>
      </c>
      <c r="AM93" s="9" t="s">
        <v>261</v>
      </c>
      <c r="AN93" s="8" t="s">
        <v>69</v>
      </c>
      <c r="AO93" s="85">
        <v>8</v>
      </c>
      <c r="AP93" s="59"/>
      <c r="AQ93" s="59">
        <f t="shared" si="145"/>
        <v>15.093843185406069</v>
      </c>
      <c r="AR93" s="59">
        <f t="shared" si="146"/>
        <v>4.7974039642168034</v>
      </c>
      <c r="AS93" s="59">
        <f t="shared" si="147"/>
        <v>19.89124714962287</v>
      </c>
      <c r="AT93" s="88">
        <v>0.14019999999999999</v>
      </c>
      <c r="AU93" s="59">
        <v>17.21</v>
      </c>
      <c r="AV93" s="59">
        <v>5.47</v>
      </c>
      <c r="AW93" s="52">
        <f t="shared" si="148"/>
        <v>22.68</v>
      </c>
      <c r="AX93" s="53">
        <f t="shared" si="149"/>
        <v>137.68</v>
      </c>
      <c r="AY93" s="53">
        <f t="shared" si="150"/>
        <v>43.76</v>
      </c>
      <c r="AZ93" s="53">
        <f t="shared" si="151"/>
        <v>181.44</v>
      </c>
      <c r="BC93" s="48"/>
      <c r="BJ93" s="55">
        <v>1</v>
      </c>
      <c r="BK93" s="97">
        <f t="shared" si="154"/>
        <v>181.44</v>
      </c>
      <c r="BQ93" s="57">
        <f t="shared" si="153"/>
        <v>1</v>
      </c>
      <c r="BR93" s="50">
        <f t="shared" si="137"/>
        <v>181.44</v>
      </c>
      <c r="BS93" s="39" t="str">
        <f t="shared" si="132"/>
        <v>OK</v>
      </c>
    </row>
    <row r="94" spans="1:71" outlineLevel="1" x14ac:dyDescent="0.25">
      <c r="A94" s="8" t="s">
        <v>24</v>
      </c>
      <c r="B94" s="8" t="s">
        <v>147</v>
      </c>
      <c r="C94" s="8" t="s">
        <v>291</v>
      </c>
      <c r="D94" s="9" t="s">
        <v>148</v>
      </c>
      <c r="E94" s="8" t="s">
        <v>149</v>
      </c>
      <c r="F94" s="59">
        <v>2</v>
      </c>
      <c r="G94" s="53">
        <f>0.06+27.72+0.05</f>
        <v>27.83</v>
      </c>
      <c r="H94" s="53">
        <v>17.05</v>
      </c>
      <c r="I94" s="53">
        <f t="shared" si="138"/>
        <v>44.879999999999995</v>
      </c>
      <c r="J94" s="53">
        <f t="shared" si="139"/>
        <v>89.76</v>
      </c>
      <c r="K94" s="58">
        <v>0.27760000000000001</v>
      </c>
      <c r="L94" s="53">
        <f t="shared" si="140"/>
        <v>71.11</v>
      </c>
      <c r="M94" s="53">
        <f t="shared" si="140"/>
        <v>43.56</v>
      </c>
      <c r="N94" s="53">
        <f t="shared" si="141"/>
        <v>114.67</v>
      </c>
      <c r="Q94" s="48"/>
      <c r="Z94" s="55">
        <v>0.75</v>
      </c>
      <c r="AA94" s="56">
        <f t="shared" si="142"/>
        <v>86.002499999999998</v>
      </c>
      <c r="AB94" s="55">
        <v>0.25</v>
      </c>
      <c r="AC94" s="56">
        <f t="shared" si="143"/>
        <v>28.6675</v>
      </c>
      <c r="AE94" s="57">
        <f t="shared" si="144"/>
        <v>1</v>
      </c>
      <c r="AF94" s="50">
        <f t="shared" si="134"/>
        <v>114.67</v>
      </c>
      <c r="AG94" s="39" t="str">
        <f t="shared" si="135"/>
        <v>OK</v>
      </c>
      <c r="AJ94" s="8" t="s">
        <v>24</v>
      </c>
      <c r="AK94" s="8" t="s">
        <v>147</v>
      </c>
      <c r="AL94" s="8" t="s">
        <v>291</v>
      </c>
      <c r="AM94" s="9" t="s">
        <v>148</v>
      </c>
      <c r="AN94" s="8" t="s">
        <v>149</v>
      </c>
      <c r="AO94" s="85">
        <v>2</v>
      </c>
      <c r="AP94" s="59"/>
      <c r="AQ94" s="59">
        <f t="shared" si="145"/>
        <v>20.38238905455183</v>
      </c>
      <c r="AR94" s="59">
        <f t="shared" si="146"/>
        <v>28.144185230661289</v>
      </c>
      <c r="AS94" s="59">
        <f t="shared" si="147"/>
        <v>48.526574285213115</v>
      </c>
      <c r="AT94" s="88">
        <v>0.14019999999999999</v>
      </c>
      <c r="AU94" s="59">
        <v>23.24</v>
      </c>
      <c r="AV94" s="59">
        <v>32.090000000000003</v>
      </c>
      <c r="AW94" s="52">
        <f t="shared" si="148"/>
        <v>55.33</v>
      </c>
      <c r="AX94" s="53">
        <f t="shared" si="149"/>
        <v>46.48</v>
      </c>
      <c r="AY94" s="53">
        <f t="shared" si="150"/>
        <v>64.180000000000007</v>
      </c>
      <c r="AZ94" s="53">
        <f t="shared" si="151"/>
        <v>110.66</v>
      </c>
      <c r="BC94" s="48"/>
      <c r="BJ94" s="55">
        <v>1</v>
      </c>
      <c r="BK94" s="97">
        <f t="shared" si="154"/>
        <v>110.66</v>
      </c>
      <c r="BQ94" s="57">
        <f t="shared" si="153"/>
        <v>1</v>
      </c>
      <c r="BR94" s="50">
        <f t="shared" si="137"/>
        <v>110.66</v>
      </c>
      <c r="BS94" s="39" t="str">
        <f t="shared" si="132"/>
        <v>OK</v>
      </c>
    </row>
    <row r="95" spans="1:71" ht="30" outlineLevel="1" x14ac:dyDescent="0.25">
      <c r="A95" s="8" t="s">
        <v>24</v>
      </c>
      <c r="B95" s="8" t="s">
        <v>180</v>
      </c>
      <c r="C95" s="8" t="s">
        <v>292</v>
      </c>
      <c r="D95" s="9" t="s">
        <v>150</v>
      </c>
      <c r="E95" s="70" t="s">
        <v>151</v>
      </c>
      <c r="F95" s="59">
        <v>0.154</v>
      </c>
      <c r="G95" s="53">
        <v>18.86</v>
      </c>
      <c r="H95" s="53">
        <v>42.78</v>
      </c>
      <c r="I95" s="53">
        <f t="shared" si="138"/>
        <v>61.64</v>
      </c>
      <c r="J95" s="53">
        <f t="shared" si="139"/>
        <v>9.49</v>
      </c>
      <c r="K95" s="58">
        <v>0.27760000000000001</v>
      </c>
      <c r="L95" s="53">
        <f t="shared" si="140"/>
        <v>3.71</v>
      </c>
      <c r="M95" s="53">
        <f t="shared" si="140"/>
        <v>8.41</v>
      </c>
      <c r="N95" s="53">
        <f t="shared" si="141"/>
        <v>12.120000000000001</v>
      </c>
      <c r="Q95" s="48"/>
      <c r="Z95" s="55">
        <v>0.75</v>
      </c>
      <c r="AA95" s="56">
        <f t="shared" si="142"/>
        <v>9.09</v>
      </c>
      <c r="AB95" s="55">
        <v>0.25</v>
      </c>
      <c r="AC95" s="56">
        <f t="shared" si="143"/>
        <v>3.0300000000000002</v>
      </c>
      <c r="AE95" s="57">
        <f t="shared" si="144"/>
        <v>1</v>
      </c>
      <c r="AF95" s="50">
        <f t="shared" si="134"/>
        <v>12.120000000000001</v>
      </c>
      <c r="AG95" s="39" t="str">
        <f t="shared" si="135"/>
        <v>OK</v>
      </c>
      <c r="AJ95" s="8" t="s">
        <v>24</v>
      </c>
      <c r="AK95" s="8" t="s">
        <v>180</v>
      </c>
      <c r="AL95" s="8" t="s">
        <v>292</v>
      </c>
      <c r="AM95" s="9" t="s">
        <v>150</v>
      </c>
      <c r="AN95" s="70" t="s">
        <v>151</v>
      </c>
      <c r="AO95" s="85">
        <v>0.15</v>
      </c>
      <c r="AP95" s="59"/>
      <c r="AQ95" s="59">
        <f t="shared" si="145"/>
        <v>51.780389405367472</v>
      </c>
      <c r="AR95" s="59">
        <f t="shared" si="146"/>
        <v>20.075425363971231</v>
      </c>
      <c r="AS95" s="59">
        <f t="shared" si="147"/>
        <v>71.855814769338707</v>
      </c>
      <c r="AT95" s="88">
        <v>0.14019999999999999</v>
      </c>
      <c r="AU95" s="59">
        <v>59.04</v>
      </c>
      <c r="AV95" s="59">
        <v>22.89</v>
      </c>
      <c r="AW95" s="52">
        <f t="shared" si="148"/>
        <v>81.93</v>
      </c>
      <c r="AX95" s="53">
        <f>$AO95*AU95-0.01</f>
        <v>8.8460000000000001</v>
      </c>
      <c r="AY95" s="53">
        <f t="shared" si="150"/>
        <v>3.4335</v>
      </c>
      <c r="AZ95" s="89">
        <f>AX95+AY95</f>
        <v>12.279500000000001</v>
      </c>
      <c r="BC95" s="48"/>
      <c r="BJ95" s="55">
        <v>1</v>
      </c>
      <c r="BK95" s="97">
        <f t="shared" si="154"/>
        <v>12.279500000000001</v>
      </c>
      <c r="BQ95" s="57">
        <f t="shared" si="153"/>
        <v>1</v>
      </c>
      <c r="BR95" s="50">
        <f t="shared" si="137"/>
        <v>12.279500000000001</v>
      </c>
      <c r="BS95" s="39" t="str">
        <f t="shared" si="132"/>
        <v>OK</v>
      </c>
    </row>
    <row r="96" spans="1:71" ht="15.75" outlineLevel="1" x14ac:dyDescent="0.25">
      <c r="A96" s="8" t="s">
        <v>24</v>
      </c>
      <c r="B96" s="8" t="s">
        <v>181</v>
      </c>
      <c r="C96" s="8" t="s">
        <v>293</v>
      </c>
      <c r="D96" s="9" t="s">
        <v>152</v>
      </c>
      <c r="E96" s="70" t="s">
        <v>151</v>
      </c>
      <c r="F96" s="59">
        <v>0.32</v>
      </c>
      <c r="G96" s="53">
        <v>24.89</v>
      </c>
      <c r="H96" s="53">
        <v>56.09</v>
      </c>
      <c r="I96" s="53">
        <f t="shared" si="138"/>
        <v>80.98</v>
      </c>
      <c r="J96" s="53">
        <f t="shared" si="139"/>
        <v>25.91</v>
      </c>
      <c r="K96" s="58">
        <v>0.27760000000000001</v>
      </c>
      <c r="L96" s="53">
        <f t="shared" si="140"/>
        <v>10.17</v>
      </c>
      <c r="M96" s="53">
        <f t="shared" si="140"/>
        <v>22.93</v>
      </c>
      <c r="N96" s="53">
        <f t="shared" si="141"/>
        <v>33.1</v>
      </c>
      <c r="Q96" s="48"/>
      <c r="Z96" s="55">
        <v>0.75</v>
      </c>
      <c r="AA96" s="56">
        <f t="shared" si="142"/>
        <v>24.825000000000003</v>
      </c>
      <c r="AB96" s="55">
        <v>0.25</v>
      </c>
      <c r="AC96" s="56">
        <f t="shared" si="143"/>
        <v>8.2750000000000004</v>
      </c>
      <c r="AE96" s="57">
        <f t="shared" si="144"/>
        <v>1</v>
      </c>
      <c r="AF96" s="50">
        <f t="shared" si="134"/>
        <v>33.1</v>
      </c>
      <c r="AG96" s="39" t="str">
        <f t="shared" si="135"/>
        <v>OK</v>
      </c>
      <c r="AJ96" s="8" t="s">
        <v>24</v>
      </c>
      <c r="AK96" s="8" t="s">
        <v>181</v>
      </c>
      <c r="AL96" s="8" t="s">
        <v>293</v>
      </c>
      <c r="AM96" s="9" t="s">
        <v>152</v>
      </c>
      <c r="AN96" s="70" t="s">
        <v>151</v>
      </c>
      <c r="AO96" s="85">
        <v>0.32</v>
      </c>
      <c r="AP96" s="59"/>
      <c r="AQ96" s="59">
        <f t="shared" si="145"/>
        <v>67.900368356428686</v>
      </c>
      <c r="AR96" s="59">
        <f t="shared" si="146"/>
        <v>26.495351692685492</v>
      </c>
      <c r="AS96" s="59">
        <f t="shared" si="147"/>
        <v>94.395720049114175</v>
      </c>
      <c r="AT96" s="88">
        <v>0.14019999999999999</v>
      </c>
      <c r="AU96" s="59">
        <v>77.42</v>
      </c>
      <c r="AV96" s="59">
        <v>30.21</v>
      </c>
      <c r="AW96" s="52">
        <f t="shared" si="148"/>
        <v>107.63</v>
      </c>
      <c r="AX96" s="53">
        <f t="shared" si="149"/>
        <v>24.7744</v>
      </c>
      <c r="AY96" s="53">
        <f t="shared" si="150"/>
        <v>9.6672000000000011</v>
      </c>
      <c r="AZ96" s="53">
        <f t="shared" si="151"/>
        <v>34.441600000000001</v>
      </c>
      <c r="BC96" s="48"/>
      <c r="BJ96" s="55">
        <v>1</v>
      </c>
      <c r="BK96" s="97">
        <f t="shared" si="154"/>
        <v>34.441600000000001</v>
      </c>
      <c r="BQ96" s="57">
        <f t="shared" si="153"/>
        <v>1</v>
      </c>
      <c r="BR96" s="50">
        <f t="shared" si="137"/>
        <v>34.441600000000001</v>
      </c>
      <c r="BS96" s="39" t="str">
        <f t="shared" si="132"/>
        <v>OK</v>
      </c>
    </row>
    <row r="97" spans="1:71" ht="45" outlineLevel="1" x14ac:dyDescent="0.25">
      <c r="A97" s="8" t="s">
        <v>24</v>
      </c>
      <c r="B97" s="8" t="s">
        <v>182</v>
      </c>
      <c r="C97" s="8" t="s">
        <v>294</v>
      </c>
      <c r="D97" s="9" t="s">
        <v>153</v>
      </c>
      <c r="E97" s="8" t="s">
        <v>81</v>
      </c>
      <c r="F97" s="59">
        <v>18.96</v>
      </c>
      <c r="G97" s="53">
        <v>8.1199999999999992</v>
      </c>
      <c r="H97" s="53">
        <v>2.04</v>
      </c>
      <c r="I97" s="53">
        <f t="shared" si="138"/>
        <v>10.16</v>
      </c>
      <c r="J97" s="53">
        <f t="shared" si="139"/>
        <v>192.63</v>
      </c>
      <c r="K97" s="58">
        <v>0.27760000000000001</v>
      </c>
      <c r="L97" s="53">
        <f t="shared" ref="L97:M120" si="155">TRUNC($F97*G97*(1+$K97),2)</f>
        <v>196.69</v>
      </c>
      <c r="M97" s="53">
        <f t="shared" si="155"/>
        <v>49.41</v>
      </c>
      <c r="N97" s="53">
        <f t="shared" si="141"/>
        <v>246.1</v>
      </c>
      <c r="Q97" s="48"/>
      <c r="Z97" s="55">
        <v>0.75</v>
      </c>
      <c r="AA97" s="56">
        <f t="shared" si="142"/>
        <v>184.57499999999999</v>
      </c>
      <c r="AB97" s="55">
        <v>0.25</v>
      </c>
      <c r="AC97" s="56">
        <f t="shared" si="143"/>
        <v>61.524999999999999</v>
      </c>
      <c r="AE97" s="57">
        <f t="shared" si="144"/>
        <v>1</v>
      </c>
      <c r="AF97" s="50">
        <f t="shared" si="134"/>
        <v>246.1</v>
      </c>
      <c r="AG97" s="39" t="str">
        <f t="shared" si="135"/>
        <v>OK</v>
      </c>
      <c r="AJ97" s="8" t="s">
        <v>24</v>
      </c>
      <c r="AK97" s="8" t="s">
        <v>182</v>
      </c>
      <c r="AL97" s="8" t="s">
        <v>294</v>
      </c>
      <c r="AM97" s="9" t="s">
        <v>153</v>
      </c>
      <c r="AN97" s="8" t="s">
        <v>81</v>
      </c>
      <c r="AO97" s="85">
        <v>18.96</v>
      </c>
      <c r="AP97" s="59"/>
      <c r="AQ97" s="59">
        <f t="shared" si="145"/>
        <v>2.4557095246447989</v>
      </c>
      <c r="AR97" s="59">
        <f t="shared" si="146"/>
        <v>8.2529380810384136</v>
      </c>
      <c r="AS97" s="59">
        <f t="shared" si="147"/>
        <v>10.708647605683213</v>
      </c>
      <c r="AT97" s="88">
        <v>0.14019999999999999</v>
      </c>
      <c r="AU97" s="59">
        <v>2.8</v>
      </c>
      <c r="AV97" s="59">
        <v>9.41</v>
      </c>
      <c r="AW97" s="52">
        <f t="shared" si="148"/>
        <v>12.21</v>
      </c>
      <c r="AX97" s="53">
        <f t="shared" si="149"/>
        <v>53.088000000000001</v>
      </c>
      <c r="AY97" s="53">
        <f t="shared" si="150"/>
        <v>178.4136</v>
      </c>
      <c r="AZ97" s="53">
        <f t="shared" si="151"/>
        <v>231.50160000000002</v>
      </c>
      <c r="BC97" s="48"/>
      <c r="BJ97" s="55">
        <v>1</v>
      </c>
      <c r="BK97" s="97">
        <f t="shared" si="154"/>
        <v>231.50160000000002</v>
      </c>
      <c r="BQ97" s="57">
        <f t="shared" si="153"/>
        <v>1</v>
      </c>
      <c r="BR97" s="50">
        <f t="shared" si="137"/>
        <v>231.50160000000002</v>
      </c>
      <c r="BS97" s="39" t="str">
        <f t="shared" si="132"/>
        <v>OK</v>
      </c>
    </row>
    <row r="98" spans="1:71" ht="45" outlineLevel="1" x14ac:dyDescent="0.25">
      <c r="A98" s="8" t="s">
        <v>24</v>
      </c>
      <c r="B98" s="8" t="s">
        <v>183</v>
      </c>
      <c r="C98" s="8" t="s">
        <v>295</v>
      </c>
      <c r="D98" s="9" t="s">
        <v>154</v>
      </c>
      <c r="E98" s="70" t="s">
        <v>151</v>
      </c>
      <c r="F98" s="59">
        <v>0.05</v>
      </c>
      <c r="G98" s="53">
        <f>0.64+334.18+0.62</f>
        <v>335.44</v>
      </c>
      <c r="H98" s="53">
        <v>96.3</v>
      </c>
      <c r="I98" s="53">
        <f t="shared" si="138"/>
        <v>431.74</v>
      </c>
      <c r="J98" s="53">
        <f t="shared" si="139"/>
        <v>21.58</v>
      </c>
      <c r="K98" s="58">
        <v>0.27760000000000001</v>
      </c>
      <c r="L98" s="53">
        <f t="shared" si="155"/>
        <v>21.42</v>
      </c>
      <c r="M98" s="53">
        <f t="shared" si="155"/>
        <v>6.15</v>
      </c>
      <c r="N98" s="53">
        <f t="shared" si="141"/>
        <v>27.57</v>
      </c>
      <c r="Q98" s="48"/>
      <c r="Z98" s="55">
        <v>0.75</v>
      </c>
      <c r="AA98" s="56">
        <f t="shared" si="142"/>
        <v>20.677500000000002</v>
      </c>
      <c r="AB98" s="55">
        <v>0.25</v>
      </c>
      <c r="AC98" s="56">
        <f t="shared" si="143"/>
        <v>6.8925000000000001</v>
      </c>
      <c r="AE98" s="57">
        <f t="shared" si="144"/>
        <v>1</v>
      </c>
      <c r="AF98" s="50">
        <f t="shared" si="134"/>
        <v>27.57</v>
      </c>
      <c r="AG98" s="39" t="str">
        <f t="shared" si="135"/>
        <v>OK</v>
      </c>
      <c r="AJ98" s="8" t="s">
        <v>24</v>
      </c>
      <c r="AK98" s="8" t="s">
        <v>183</v>
      </c>
      <c r="AL98" s="8" t="s">
        <v>295</v>
      </c>
      <c r="AM98" s="9" t="s">
        <v>154</v>
      </c>
      <c r="AN98" s="70" t="s">
        <v>151</v>
      </c>
      <c r="AO98" s="85">
        <v>0.05</v>
      </c>
      <c r="AP98" s="59"/>
      <c r="AQ98" s="59">
        <f t="shared" si="145"/>
        <v>116.65497281178739</v>
      </c>
      <c r="AR98" s="59">
        <f t="shared" si="146"/>
        <v>345.3429222943343</v>
      </c>
      <c r="AS98" s="59">
        <f t="shared" si="147"/>
        <v>461.99789510612169</v>
      </c>
      <c r="AT98" s="88">
        <v>0.14019999999999999</v>
      </c>
      <c r="AU98" s="59">
        <v>133.01</v>
      </c>
      <c r="AV98" s="59">
        <v>393.76</v>
      </c>
      <c r="AW98" s="52">
        <f t="shared" si="148"/>
        <v>526.77</v>
      </c>
      <c r="AX98" s="53">
        <f t="shared" si="149"/>
        <v>6.6505000000000001</v>
      </c>
      <c r="AY98" s="53">
        <f>$AO98*AV98-0.01</f>
        <v>19.678000000000001</v>
      </c>
      <c r="AZ98" s="89">
        <f>AX98+AY98</f>
        <v>26.328500000000002</v>
      </c>
      <c r="BC98" s="48"/>
      <c r="BJ98" s="55">
        <v>1</v>
      </c>
      <c r="BK98" s="97">
        <f t="shared" si="154"/>
        <v>26.328500000000002</v>
      </c>
      <c r="BQ98" s="57">
        <f t="shared" si="153"/>
        <v>1</v>
      </c>
      <c r="BR98" s="50">
        <f t="shared" si="137"/>
        <v>26.328500000000002</v>
      </c>
      <c r="BS98" s="39" t="str">
        <f t="shared" si="132"/>
        <v>OK</v>
      </c>
    </row>
    <row r="99" spans="1:71" ht="30" outlineLevel="1" x14ac:dyDescent="0.25">
      <c r="A99" s="8" t="s">
        <v>24</v>
      </c>
      <c r="B99" s="8" t="s">
        <v>184</v>
      </c>
      <c r="C99" s="8" t="s">
        <v>296</v>
      </c>
      <c r="D99" s="9" t="s">
        <v>155</v>
      </c>
      <c r="E99" s="70" t="s">
        <v>156</v>
      </c>
      <c r="F99" s="59">
        <v>10.65</v>
      </c>
      <c r="G99" s="53">
        <v>57.23</v>
      </c>
      <c r="H99" s="53">
        <v>26.59</v>
      </c>
      <c r="I99" s="53">
        <f t="shared" si="138"/>
        <v>83.82</v>
      </c>
      <c r="J99" s="53">
        <f t="shared" si="139"/>
        <v>892.68</v>
      </c>
      <c r="K99" s="58">
        <v>0.27760000000000001</v>
      </c>
      <c r="L99" s="53">
        <f t="shared" si="155"/>
        <v>778.69</v>
      </c>
      <c r="M99" s="53">
        <f t="shared" si="155"/>
        <v>361.79</v>
      </c>
      <c r="N99" s="53">
        <f t="shared" si="141"/>
        <v>1140.48</v>
      </c>
      <c r="Q99" s="48"/>
      <c r="Z99" s="55">
        <v>0.75</v>
      </c>
      <c r="AA99" s="56">
        <f t="shared" si="142"/>
        <v>855.36</v>
      </c>
      <c r="AB99" s="55">
        <v>0.25</v>
      </c>
      <c r="AC99" s="56">
        <f t="shared" si="143"/>
        <v>285.12</v>
      </c>
      <c r="AE99" s="57">
        <f t="shared" si="144"/>
        <v>1</v>
      </c>
      <c r="AF99" s="50">
        <f t="shared" si="134"/>
        <v>1140.48</v>
      </c>
      <c r="AG99" s="39" t="str">
        <f t="shared" si="135"/>
        <v>OK</v>
      </c>
      <c r="AJ99" s="8" t="s">
        <v>24</v>
      </c>
      <c r="AK99" s="8" t="s">
        <v>184</v>
      </c>
      <c r="AL99" s="8" t="s">
        <v>296</v>
      </c>
      <c r="AM99" s="9" t="s">
        <v>155</v>
      </c>
      <c r="AN99" s="70" t="s">
        <v>156</v>
      </c>
      <c r="AO99" s="85">
        <v>10.65</v>
      </c>
      <c r="AP99" s="59"/>
      <c r="AQ99" s="59">
        <f t="shared" si="145"/>
        <v>31.643571303280122</v>
      </c>
      <c r="AR99" s="59">
        <f t="shared" si="146"/>
        <v>62.471496228731802</v>
      </c>
      <c r="AS99" s="59">
        <f t="shared" si="147"/>
        <v>94.115067532011921</v>
      </c>
      <c r="AT99" s="88">
        <v>0.14019999999999999</v>
      </c>
      <c r="AU99" s="59">
        <v>36.08</v>
      </c>
      <c r="AV99" s="59">
        <v>71.23</v>
      </c>
      <c r="AW99" s="52">
        <f t="shared" si="148"/>
        <v>107.31</v>
      </c>
      <c r="AX99" s="53">
        <f t="shared" si="149"/>
        <v>384.25200000000001</v>
      </c>
      <c r="AY99" s="53">
        <f t="shared" si="150"/>
        <v>758.59950000000003</v>
      </c>
      <c r="AZ99" s="53">
        <f t="shared" si="151"/>
        <v>1142.8515</v>
      </c>
      <c r="BC99" s="48"/>
      <c r="BJ99" s="55">
        <v>1</v>
      </c>
      <c r="BK99" s="97">
        <f t="shared" si="154"/>
        <v>1142.8515</v>
      </c>
      <c r="BQ99" s="57">
        <f t="shared" si="153"/>
        <v>1</v>
      </c>
      <c r="BR99" s="50">
        <f t="shared" si="137"/>
        <v>1142.8515</v>
      </c>
      <c r="BS99" s="39" t="str">
        <f t="shared" si="132"/>
        <v>OK</v>
      </c>
    </row>
    <row r="100" spans="1:71" ht="45" outlineLevel="1" x14ac:dyDescent="0.25">
      <c r="A100" s="8" t="s">
        <v>24</v>
      </c>
      <c r="B100" s="8" t="s">
        <v>185</v>
      </c>
      <c r="C100" s="8" t="s">
        <v>297</v>
      </c>
      <c r="D100" s="9" t="s">
        <v>157</v>
      </c>
      <c r="E100" s="70" t="s">
        <v>156</v>
      </c>
      <c r="F100" s="59">
        <f>5*1.7</f>
        <v>8.5</v>
      </c>
      <c r="G100" s="53">
        <f>0.03+51.83+0.04</f>
        <v>51.9</v>
      </c>
      <c r="H100" s="53">
        <v>14.88</v>
      </c>
      <c r="I100" s="53">
        <f t="shared" si="138"/>
        <v>66.78</v>
      </c>
      <c r="J100" s="53">
        <f t="shared" si="139"/>
        <v>567.63</v>
      </c>
      <c r="K100" s="58">
        <v>0.27760000000000001</v>
      </c>
      <c r="L100" s="53">
        <f t="shared" si="155"/>
        <v>563.61</v>
      </c>
      <c r="M100" s="53">
        <f t="shared" si="155"/>
        <v>161.59</v>
      </c>
      <c r="N100" s="53">
        <f t="shared" si="141"/>
        <v>725.2</v>
      </c>
      <c r="Q100" s="48"/>
      <c r="Z100" s="55">
        <v>0.75</v>
      </c>
      <c r="AA100" s="56">
        <f t="shared" si="142"/>
        <v>543.90000000000009</v>
      </c>
      <c r="AB100" s="55">
        <v>0.25</v>
      </c>
      <c r="AC100" s="56">
        <f t="shared" si="143"/>
        <v>181.3</v>
      </c>
      <c r="AE100" s="57">
        <f t="shared" si="144"/>
        <v>1</v>
      </c>
      <c r="AF100" s="50">
        <f t="shared" si="134"/>
        <v>725.2</v>
      </c>
      <c r="AG100" s="39" t="str">
        <f t="shared" si="135"/>
        <v>OK</v>
      </c>
      <c r="AJ100" s="8" t="s">
        <v>24</v>
      </c>
      <c r="AK100" s="8" t="s">
        <v>185</v>
      </c>
      <c r="AL100" s="8" t="s">
        <v>297</v>
      </c>
      <c r="AM100" s="9" t="s">
        <v>157</v>
      </c>
      <c r="AN100" s="70" t="s">
        <v>156</v>
      </c>
      <c r="AO100" s="85">
        <f>5*1.7</f>
        <v>8.5</v>
      </c>
      <c r="AP100" s="59"/>
      <c r="AQ100" s="59">
        <f t="shared" si="145"/>
        <v>17.830205227153129</v>
      </c>
      <c r="AR100" s="59">
        <f t="shared" si="146"/>
        <v>51.359410629714084</v>
      </c>
      <c r="AS100" s="59">
        <f t="shared" si="147"/>
        <v>69.189615856867206</v>
      </c>
      <c r="AT100" s="88">
        <v>0.14019999999999999</v>
      </c>
      <c r="AU100" s="59">
        <v>20.329999999999998</v>
      </c>
      <c r="AV100" s="59">
        <v>58.56</v>
      </c>
      <c r="AW100" s="52">
        <f t="shared" si="148"/>
        <v>78.89</v>
      </c>
      <c r="AX100" s="53">
        <f>$AO100*AU100-0.01</f>
        <v>172.79499999999999</v>
      </c>
      <c r="AY100" s="53">
        <f t="shared" si="150"/>
        <v>497.76</v>
      </c>
      <c r="AZ100" s="89">
        <f t="shared" ref="AZ100:AZ101" si="156">AX100+AY100</f>
        <v>670.55499999999995</v>
      </c>
      <c r="BC100" s="48"/>
      <c r="BJ100" s="55">
        <v>1</v>
      </c>
      <c r="BK100" s="97">
        <f t="shared" si="154"/>
        <v>670.55499999999995</v>
      </c>
      <c r="BQ100" s="57">
        <f t="shared" si="153"/>
        <v>1</v>
      </c>
      <c r="BR100" s="50">
        <f t="shared" si="137"/>
        <v>670.55499999999995</v>
      </c>
      <c r="BS100" s="39" t="str">
        <f t="shared" si="132"/>
        <v>OK</v>
      </c>
    </row>
    <row r="101" spans="1:71" ht="45" outlineLevel="1" x14ac:dyDescent="0.25">
      <c r="A101" s="8" t="s">
        <v>24</v>
      </c>
      <c r="B101" s="8" t="s">
        <v>186</v>
      </c>
      <c r="C101" s="8" t="s">
        <v>298</v>
      </c>
      <c r="D101" s="9" t="s">
        <v>158</v>
      </c>
      <c r="E101" s="70" t="s">
        <v>151</v>
      </c>
      <c r="F101" s="59">
        <v>0.32</v>
      </c>
      <c r="G101" s="53">
        <f>0.43+340.79+0.57</f>
        <v>341.79</v>
      </c>
      <c r="H101" s="53">
        <v>135.94999999999999</v>
      </c>
      <c r="I101" s="53">
        <f t="shared" si="138"/>
        <v>477.74</v>
      </c>
      <c r="J101" s="53">
        <f t="shared" si="139"/>
        <v>152.87</v>
      </c>
      <c r="K101" s="58">
        <v>0.27760000000000001</v>
      </c>
      <c r="L101" s="53">
        <f t="shared" si="155"/>
        <v>139.72999999999999</v>
      </c>
      <c r="M101" s="53">
        <f t="shared" si="155"/>
        <v>55.58</v>
      </c>
      <c r="N101" s="53">
        <f t="shared" si="141"/>
        <v>195.31</v>
      </c>
      <c r="Q101" s="48"/>
      <c r="Z101" s="55">
        <v>0.75</v>
      </c>
      <c r="AA101" s="56">
        <f t="shared" si="142"/>
        <v>146.48250000000002</v>
      </c>
      <c r="AB101" s="55">
        <v>0.25</v>
      </c>
      <c r="AC101" s="56">
        <f t="shared" si="143"/>
        <v>48.827500000000001</v>
      </c>
      <c r="AE101" s="57">
        <f t="shared" si="144"/>
        <v>1</v>
      </c>
      <c r="AF101" s="50">
        <f t="shared" si="134"/>
        <v>195.31</v>
      </c>
      <c r="AG101" s="39" t="str">
        <f t="shared" si="135"/>
        <v>OK</v>
      </c>
      <c r="AJ101" s="8" t="s">
        <v>24</v>
      </c>
      <c r="AK101" s="8" t="s">
        <v>186</v>
      </c>
      <c r="AL101" s="8" t="s">
        <v>298</v>
      </c>
      <c r="AM101" s="9" t="s">
        <v>158</v>
      </c>
      <c r="AN101" s="70" t="s">
        <v>151</v>
      </c>
      <c r="AO101" s="85">
        <v>0.32</v>
      </c>
      <c r="AP101" s="59"/>
      <c r="AQ101" s="59">
        <f t="shared" si="145"/>
        <v>164.68163480091212</v>
      </c>
      <c r="AR101" s="59">
        <f t="shared" si="146"/>
        <v>352.51710226276089</v>
      </c>
      <c r="AS101" s="59">
        <f t="shared" si="147"/>
        <v>517.19873706367298</v>
      </c>
      <c r="AT101" s="88">
        <v>0.14019999999999999</v>
      </c>
      <c r="AU101" s="59">
        <v>187.77</v>
      </c>
      <c r="AV101" s="59">
        <v>401.94</v>
      </c>
      <c r="AW101" s="52">
        <f t="shared" si="148"/>
        <v>589.71</v>
      </c>
      <c r="AX101" s="53">
        <f>$AO101*AU101-0.01</f>
        <v>60.076400000000007</v>
      </c>
      <c r="AY101" s="53">
        <f t="shared" si="150"/>
        <v>128.6208</v>
      </c>
      <c r="AZ101" s="89">
        <f t="shared" si="156"/>
        <v>188.69720000000001</v>
      </c>
      <c r="BC101" s="48"/>
      <c r="BJ101" s="55">
        <v>1</v>
      </c>
      <c r="BK101" s="97">
        <f t="shared" si="154"/>
        <v>188.69720000000001</v>
      </c>
      <c r="BQ101" s="57">
        <f t="shared" si="153"/>
        <v>1</v>
      </c>
      <c r="BR101" s="50">
        <f t="shared" si="137"/>
        <v>188.69720000000001</v>
      </c>
      <c r="BS101" s="39" t="str">
        <f t="shared" si="132"/>
        <v>OK</v>
      </c>
    </row>
    <row r="102" spans="1:71" ht="30" outlineLevel="1" x14ac:dyDescent="0.25">
      <c r="A102" s="8" t="s">
        <v>24</v>
      </c>
      <c r="B102" s="8" t="s">
        <v>187</v>
      </c>
      <c r="C102" s="8" t="s">
        <v>299</v>
      </c>
      <c r="D102" s="9" t="s">
        <v>159</v>
      </c>
      <c r="E102" s="70" t="s">
        <v>156</v>
      </c>
      <c r="F102" s="59">
        <v>1.28</v>
      </c>
      <c r="G102" s="53">
        <f>62.1+0.15</f>
        <v>62.25</v>
      </c>
      <c r="H102" s="53">
        <v>31.34</v>
      </c>
      <c r="I102" s="53">
        <f t="shared" si="138"/>
        <v>93.59</v>
      </c>
      <c r="J102" s="53">
        <f t="shared" si="139"/>
        <v>119.79</v>
      </c>
      <c r="K102" s="58">
        <v>0.27760000000000001</v>
      </c>
      <c r="L102" s="53">
        <f t="shared" si="155"/>
        <v>101.79</v>
      </c>
      <c r="M102" s="53">
        <f t="shared" si="155"/>
        <v>51.25</v>
      </c>
      <c r="N102" s="53">
        <f t="shared" si="141"/>
        <v>153.04000000000002</v>
      </c>
      <c r="Q102" s="48"/>
      <c r="Z102" s="55">
        <v>0.75</v>
      </c>
      <c r="AA102" s="56">
        <f t="shared" si="142"/>
        <v>114.78000000000002</v>
      </c>
      <c r="AB102" s="55">
        <v>0.25</v>
      </c>
      <c r="AC102" s="56">
        <f t="shared" si="143"/>
        <v>38.260000000000005</v>
      </c>
      <c r="AE102" s="57">
        <f t="shared" si="144"/>
        <v>1</v>
      </c>
      <c r="AF102" s="50">
        <f t="shared" si="134"/>
        <v>153.04000000000002</v>
      </c>
      <c r="AG102" s="39" t="str">
        <f t="shared" si="135"/>
        <v>OK</v>
      </c>
      <c r="AJ102" s="8" t="s">
        <v>24</v>
      </c>
      <c r="AK102" s="8" t="s">
        <v>187</v>
      </c>
      <c r="AL102" s="8" t="s">
        <v>299</v>
      </c>
      <c r="AM102" s="9" t="s">
        <v>159</v>
      </c>
      <c r="AN102" s="70" t="s">
        <v>156</v>
      </c>
      <c r="AO102" s="85">
        <v>1.28</v>
      </c>
      <c r="AP102" s="59"/>
      <c r="AQ102" s="59">
        <f t="shared" si="145"/>
        <v>37.353095948079286</v>
      </c>
      <c r="AR102" s="59">
        <f t="shared" si="146"/>
        <v>67.74250131555867</v>
      </c>
      <c r="AS102" s="59">
        <f t="shared" si="147"/>
        <v>105.09559726363794</v>
      </c>
      <c r="AT102" s="88">
        <v>0.14019999999999999</v>
      </c>
      <c r="AU102" s="59">
        <v>42.59</v>
      </c>
      <c r="AV102" s="59">
        <v>77.239999999999995</v>
      </c>
      <c r="AW102" s="52">
        <f t="shared" si="148"/>
        <v>119.83</v>
      </c>
      <c r="AX102" s="53">
        <f t="shared" si="149"/>
        <v>54.515200000000007</v>
      </c>
      <c r="AY102" s="53">
        <f t="shared" si="150"/>
        <v>98.867199999999997</v>
      </c>
      <c r="AZ102" s="53">
        <f t="shared" si="151"/>
        <v>153.38239999999999</v>
      </c>
      <c r="BC102" s="48"/>
      <c r="BJ102" s="55">
        <v>1</v>
      </c>
      <c r="BK102" s="97">
        <f t="shared" si="154"/>
        <v>153.38239999999999</v>
      </c>
      <c r="BQ102" s="57">
        <f t="shared" si="153"/>
        <v>1</v>
      </c>
      <c r="BR102" s="50">
        <f t="shared" si="137"/>
        <v>153.38239999999999</v>
      </c>
      <c r="BS102" s="39" t="str">
        <f t="shared" si="132"/>
        <v>OK</v>
      </c>
    </row>
    <row r="103" spans="1:71" ht="30" outlineLevel="1" x14ac:dyDescent="0.25">
      <c r="A103" s="8" t="s">
        <v>24</v>
      </c>
      <c r="B103" s="8" t="s">
        <v>188</v>
      </c>
      <c r="C103" s="8" t="s">
        <v>300</v>
      </c>
      <c r="D103" s="9" t="s">
        <v>160</v>
      </c>
      <c r="E103" s="8" t="s">
        <v>81</v>
      </c>
      <c r="F103" s="59">
        <v>66.36</v>
      </c>
      <c r="G103" s="53">
        <v>8.14</v>
      </c>
      <c r="H103" s="53">
        <v>2.02</v>
      </c>
      <c r="I103" s="53">
        <f t="shared" si="138"/>
        <v>10.16</v>
      </c>
      <c r="J103" s="53">
        <f t="shared" si="139"/>
        <v>674.21</v>
      </c>
      <c r="K103" s="58">
        <v>0.27760000000000001</v>
      </c>
      <c r="L103" s="53">
        <f t="shared" si="155"/>
        <v>690.12</v>
      </c>
      <c r="M103" s="53">
        <f t="shared" si="155"/>
        <v>171.25</v>
      </c>
      <c r="N103" s="53">
        <f t="shared" si="141"/>
        <v>861.37</v>
      </c>
      <c r="Q103" s="48"/>
      <c r="Z103" s="55">
        <v>0.75</v>
      </c>
      <c r="AA103" s="56">
        <f t="shared" si="142"/>
        <v>646.02750000000003</v>
      </c>
      <c r="AB103" s="55">
        <v>0.25</v>
      </c>
      <c r="AC103" s="56">
        <f t="shared" si="143"/>
        <v>215.3425</v>
      </c>
      <c r="AE103" s="57">
        <f t="shared" si="144"/>
        <v>1</v>
      </c>
      <c r="AF103" s="50">
        <f t="shared" si="134"/>
        <v>861.37</v>
      </c>
      <c r="AG103" s="39" t="str">
        <f t="shared" si="135"/>
        <v>OK</v>
      </c>
      <c r="AJ103" s="8" t="s">
        <v>24</v>
      </c>
      <c r="AK103" s="8" t="s">
        <v>188</v>
      </c>
      <c r="AL103" s="8" t="s">
        <v>300</v>
      </c>
      <c r="AM103" s="9" t="s">
        <v>160</v>
      </c>
      <c r="AN103" s="8" t="s">
        <v>81</v>
      </c>
      <c r="AO103" s="85">
        <v>66.36</v>
      </c>
      <c r="AP103" s="59"/>
      <c r="AQ103" s="59">
        <f t="shared" si="145"/>
        <v>2.4469391334853534</v>
      </c>
      <c r="AR103" s="59">
        <f t="shared" si="146"/>
        <v>8.2792492545167509</v>
      </c>
      <c r="AS103" s="59">
        <f t="shared" si="147"/>
        <v>10.726188388002104</v>
      </c>
      <c r="AT103" s="88">
        <v>0.14019999999999999</v>
      </c>
      <c r="AU103" s="59">
        <v>2.79</v>
      </c>
      <c r="AV103" s="59">
        <v>9.44</v>
      </c>
      <c r="AW103" s="52">
        <f t="shared" si="148"/>
        <v>12.23</v>
      </c>
      <c r="AX103" s="53">
        <f t="shared" si="149"/>
        <v>185.14439999999999</v>
      </c>
      <c r="AY103" s="53">
        <f t="shared" si="150"/>
        <v>626.4384</v>
      </c>
      <c r="AZ103" s="53">
        <f t="shared" si="151"/>
        <v>811.58280000000002</v>
      </c>
      <c r="BC103" s="48"/>
      <c r="BJ103" s="55">
        <v>1</v>
      </c>
      <c r="BK103" s="97">
        <f t="shared" si="154"/>
        <v>811.58280000000002</v>
      </c>
      <c r="BQ103" s="57">
        <f t="shared" si="153"/>
        <v>1</v>
      </c>
      <c r="BR103" s="50">
        <f t="shared" si="137"/>
        <v>811.58280000000002</v>
      </c>
      <c r="BS103" s="39" t="str">
        <f t="shared" si="132"/>
        <v>OK</v>
      </c>
    </row>
    <row r="104" spans="1:71" ht="45" outlineLevel="1" x14ac:dyDescent="0.25">
      <c r="A104" s="8" t="s">
        <v>24</v>
      </c>
      <c r="B104" s="8" t="s">
        <v>189</v>
      </c>
      <c r="C104" s="8" t="s">
        <v>298</v>
      </c>
      <c r="D104" s="9" t="s">
        <v>161</v>
      </c>
      <c r="E104" s="8" t="s">
        <v>151</v>
      </c>
      <c r="F104" s="59">
        <f>5*1.6*0.05</f>
        <v>0.4</v>
      </c>
      <c r="G104" s="53">
        <f>0.43+340.79+0.57</f>
        <v>341.79</v>
      </c>
      <c r="H104" s="53">
        <v>135.94999999999999</v>
      </c>
      <c r="I104" s="53">
        <f t="shared" si="138"/>
        <v>477.74</v>
      </c>
      <c r="J104" s="53">
        <f t="shared" si="139"/>
        <v>191.09</v>
      </c>
      <c r="K104" s="58">
        <v>0.27760000000000001</v>
      </c>
      <c r="L104" s="53">
        <f t="shared" si="155"/>
        <v>174.66</v>
      </c>
      <c r="M104" s="53">
        <f t="shared" si="155"/>
        <v>69.47</v>
      </c>
      <c r="N104" s="53">
        <f t="shared" si="141"/>
        <v>244.13</v>
      </c>
      <c r="Q104" s="48"/>
      <c r="Z104" s="55">
        <v>0.75</v>
      </c>
      <c r="AA104" s="56">
        <f t="shared" si="142"/>
        <v>183.0975</v>
      </c>
      <c r="AB104" s="55">
        <v>0.25</v>
      </c>
      <c r="AC104" s="56">
        <f t="shared" si="143"/>
        <v>61.032499999999999</v>
      </c>
      <c r="AE104" s="57">
        <f t="shared" si="144"/>
        <v>1</v>
      </c>
      <c r="AF104" s="50">
        <f t="shared" si="134"/>
        <v>244.13</v>
      </c>
      <c r="AG104" s="39" t="str">
        <f t="shared" si="135"/>
        <v>OK</v>
      </c>
      <c r="AJ104" s="8" t="s">
        <v>24</v>
      </c>
      <c r="AK104" s="8" t="s">
        <v>189</v>
      </c>
      <c r="AL104" s="8" t="s">
        <v>298</v>
      </c>
      <c r="AM104" s="9" t="s">
        <v>161</v>
      </c>
      <c r="AN104" s="8" t="s">
        <v>151</v>
      </c>
      <c r="AO104" s="85">
        <f>5*1.6*0.05</f>
        <v>0.4</v>
      </c>
      <c r="AP104" s="59"/>
      <c r="AQ104" s="59">
        <f t="shared" si="145"/>
        <v>164.68163480091212</v>
      </c>
      <c r="AR104" s="59">
        <f t="shared" si="146"/>
        <v>352.51710226276089</v>
      </c>
      <c r="AS104" s="59">
        <f t="shared" si="147"/>
        <v>517.19873706367298</v>
      </c>
      <c r="AT104" s="88">
        <v>0.14019999999999999</v>
      </c>
      <c r="AU104" s="59">
        <v>187.77</v>
      </c>
      <c r="AV104" s="59">
        <v>401.94</v>
      </c>
      <c r="AW104" s="52">
        <f t="shared" si="148"/>
        <v>589.71</v>
      </c>
      <c r="AX104" s="53">
        <f t="shared" si="149"/>
        <v>75.108000000000004</v>
      </c>
      <c r="AY104" s="53">
        <f t="shared" si="150"/>
        <v>160.77600000000001</v>
      </c>
      <c r="AZ104" s="53">
        <f t="shared" si="151"/>
        <v>235.88400000000001</v>
      </c>
      <c r="BC104" s="48"/>
      <c r="BJ104" s="55">
        <v>1</v>
      </c>
      <c r="BK104" s="97">
        <f t="shared" si="154"/>
        <v>235.88400000000001</v>
      </c>
      <c r="BQ104" s="57">
        <f t="shared" si="153"/>
        <v>1</v>
      </c>
      <c r="BR104" s="50">
        <f t="shared" si="137"/>
        <v>235.88400000000001</v>
      </c>
      <c r="BS104" s="39" t="str">
        <f t="shared" si="132"/>
        <v>OK</v>
      </c>
    </row>
    <row r="105" spans="1:71" ht="30" outlineLevel="1" x14ac:dyDescent="0.25">
      <c r="A105" s="8" t="s">
        <v>24</v>
      </c>
      <c r="B105" s="8" t="s">
        <v>190</v>
      </c>
      <c r="C105" s="8" t="s">
        <v>301</v>
      </c>
      <c r="D105" s="9" t="s">
        <v>162</v>
      </c>
      <c r="E105" s="70" t="s">
        <v>151</v>
      </c>
      <c r="F105" s="59">
        <v>0.128</v>
      </c>
      <c r="G105" s="53">
        <f>2.34+330.04+1.65</f>
        <v>334.03</v>
      </c>
      <c r="H105" s="53">
        <v>93.52</v>
      </c>
      <c r="I105" s="53">
        <f t="shared" si="138"/>
        <v>427.54999999999995</v>
      </c>
      <c r="J105" s="53">
        <f t="shared" si="139"/>
        <v>54.72</v>
      </c>
      <c r="K105" s="58">
        <v>0.27760000000000001</v>
      </c>
      <c r="L105" s="53">
        <f t="shared" si="155"/>
        <v>54.62</v>
      </c>
      <c r="M105" s="53">
        <f t="shared" si="155"/>
        <v>15.29</v>
      </c>
      <c r="N105" s="53">
        <f t="shared" si="141"/>
        <v>69.91</v>
      </c>
      <c r="Q105" s="48"/>
      <c r="Z105" s="55">
        <v>0.75</v>
      </c>
      <c r="AA105" s="56">
        <f t="shared" si="142"/>
        <v>52.432499999999997</v>
      </c>
      <c r="AB105" s="55">
        <v>0.25</v>
      </c>
      <c r="AC105" s="56">
        <f t="shared" si="143"/>
        <v>17.477499999999999</v>
      </c>
      <c r="AE105" s="57">
        <f t="shared" si="144"/>
        <v>1</v>
      </c>
      <c r="AF105" s="50">
        <f t="shared" si="134"/>
        <v>69.91</v>
      </c>
      <c r="AG105" s="39" t="str">
        <f t="shared" si="135"/>
        <v>OK</v>
      </c>
      <c r="AJ105" s="8" t="s">
        <v>24</v>
      </c>
      <c r="AK105" s="8" t="s">
        <v>190</v>
      </c>
      <c r="AL105" s="8" t="s">
        <v>301</v>
      </c>
      <c r="AM105" s="9" t="s">
        <v>162</v>
      </c>
      <c r="AN105" s="70" t="s">
        <v>151</v>
      </c>
      <c r="AO105" s="85">
        <v>0.13</v>
      </c>
      <c r="AP105" s="59"/>
      <c r="AQ105" s="59">
        <f t="shared" si="145"/>
        <v>107.67409226451498</v>
      </c>
      <c r="AR105" s="59">
        <f t="shared" si="146"/>
        <v>327.64427293457283</v>
      </c>
      <c r="AS105" s="59">
        <f t="shared" si="147"/>
        <v>435.31836519908779</v>
      </c>
      <c r="AT105" s="88">
        <v>0.14019999999999999</v>
      </c>
      <c r="AU105" s="59">
        <v>122.77</v>
      </c>
      <c r="AV105" s="59">
        <v>373.58</v>
      </c>
      <c r="AW105" s="52">
        <f t="shared" si="148"/>
        <v>496.34999999999997</v>
      </c>
      <c r="AX105" s="53">
        <f t="shared" si="149"/>
        <v>15.960100000000001</v>
      </c>
      <c r="AY105" s="53">
        <f>$AO105*AV105-0.01</f>
        <v>48.555399999999999</v>
      </c>
      <c r="AZ105" s="89">
        <f t="shared" ref="AZ105:AZ106" si="157">AX105+AY105</f>
        <v>64.515500000000003</v>
      </c>
      <c r="BC105" s="48"/>
      <c r="BJ105" s="55">
        <v>1</v>
      </c>
      <c r="BK105" s="97">
        <f t="shared" si="154"/>
        <v>64.515500000000003</v>
      </c>
      <c r="BQ105" s="57">
        <f t="shared" si="153"/>
        <v>1</v>
      </c>
      <c r="BR105" s="50">
        <f t="shared" si="137"/>
        <v>64.515500000000003</v>
      </c>
      <c r="BS105" s="39" t="str">
        <f t="shared" si="132"/>
        <v>OK</v>
      </c>
    </row>
    <row r="106" spans="1:71" ht="45" outlineLevel="1" x14ac:dyDescent="0.25">
      <c r="A106" s="8" t="s">
        <v>24</v>
      </c>
      <c r="B106" s="8" t="s">
        <v>191</v>
      </c>
      <c r="C106" s="8" t="s">
        <v>302</v>
      </c>
      <c r="D106" s="9" t="s">
        <v>163</v>
      </c>
      <c r="E106" s="70" t="s">
        <v>156</v>
      </c>
      <c r="F106" s="59">
        <v>8.9499999999999993</v>
      </c>
      <c r="G106" s="53">
        <v>37.29</v>
      </c>
      <c r="H106" s="53">
        <v>15.77</v>
      </c>
      <c r="I106" s="53">
        <f t="shared" si="138"/>
        <v>53.06</v>
      </c>
      <c r="J106" s="53">
        <f t="shared" si="139"/>
        <v>474.88</v>
      </c>
      <c r="K106" s="58">
        <v>0.27760000000000001</v>
      </c>
      <c r="L106" s="53">
        <f t="shared" si="155"/>
        <v>426.39</v>
      </c>
      <c r="M106" s="53">
        <f t="shared" si="155"/>
        <v>180.32</v>
      </c>
      <c r="N106" s="53">
        <f t="shared" si="141"/>
        <v>606.71</v>
      </c>
      <c r="Q106" s="48"/>
      <c r="Z106" s="55">
        <v>0.75</v>
      </c>
      <c r="AA106" s="56">
        <f t="shared" si="142"/>
        <v>455.03250000000003</v>
      </c>
      <c r="AB106" s="55">
        <v>0.25</v>
      </c>
      <c r="AC106" s="56">
        <f t="shared" si="143"/>
        <v>151.67750000000001</v>
      </c>
      <c r="AE106" s="57">
        <f t="shared" si="144"/>
        <v>1</v>
      </c>
      <c r="AF106" s="50">
        <f t="shared" si="134"/>
        <v>606.71</v>
      </c>
      <c r="AG106" s="39" t="str">
        <f t="shared" si="135"/>
        <v>OK</v>
      </c>
      <c r="AJ106" s="8" t="s">
        <v>24</v>
      </c>
      <c r="AK106" s="8" t="s">
        <v>191</v>
      </c>
      <c r="AL106" s="8" t="s">
        <v>302</v>
      </c>
      <c r="AM106" s="9" t="s">
        <v>163</v>
      </c>
      <c r="AN106" s="70" t="s">
        <v>156</v>
      </c>
      <c r="AO106" s="85">
        <v>8.9499999999999993</v>
      </c>
      <c r="AP106" s="59"/>
      <c r="AQ106" s="59">
        <f t="shared" si="145"/>
        <v>19.084371162953868</v>
      </c>
      <c r="AR106" s="59">
        <f t="shared" si="146"/>
        <v>38.300298193299419</v>
      </c>
      <c r="AS106" s="59">
        <f t="shared" si="147"/>
        <v>57.384669356253291</v>
      </c>
      <c r="AT106" s="88">
        <v>0.14019999999999999</v>
      </c>
      <c r="AU106" s="59">
        <v>21.76</v>
      </c>
      <c r="AV106" s="59">
        <v>43.67</v>
      </c>
      <c r="AW106" s="52">
        <f t="shared" si="148"/>
        <v>65.430000000000007</v>
      </c>
      <c r="AX106" s="53">
        <f t="shared" si="149"/>
        <v>194.75200000000001</v>
      </c>
      <c r="AY106" s="53">
        <f>$AO106*AV106-0.01</f>
        <v>390.8365</v>
      </c>
      <c r="AZ106" s="89">
        <f t="shared" si="157"/>
        <v>585.58850000000007</v>
      </c>
      <c r="BC106" s="48"/>
      <c r="BJ106" s="55">
        <v>1</v>
      </c>
      <c r="BK106" s="97">
        <f t="shared" si="154"/>
        <v>585.58850000000007</v>
      </c>
      <c r="BQ106" s="57">
        <f t="shared" si="153"/>
        <v>1</v>
      </c>
      <c r="BR106" s="50">
        <f t="shared" si="137"/>
        <v>585.58850000000007</v>
      </c>
      <c r="BS106" s="39" t="str">
        <f t="shared" si="132"/>
        <v>OK</v>
      </c>
    </row>
    <row r="107" spans="1:71" ht="30" outlineLevel="1" x14ac:dyDescent="0.25">
      <c r="A107" s="8" t="s">
        <v>24</v>
      </c>
      <c r="B107" s="8" t="s">
        <v>192</v>
      </c>
      <c r="C107" s="8" t="s">
        <v>303</v>
      </c>
      <c r="D107" s="9" t="s">
        <v>164</v>
      </c>
      <c r="E107" s="70" t="s">
        <v>156</v>
      </c>
      <c r="F107" s="59">
        <f>3.4*2*2.3</f>
        <v>15.639999999999999</v>
      </c>
      <c r="G107" s="53">
        <v>1.45</v>
      </c>
      <c r="H107" s="53">
        <v>1.21</v>
      </c>
      <c r="I107" s="53">
        <f t="shared" si="138"/>
        <v>2.66</v>
      </c>
      <c r="J107" s="53">
        <f t="shared" si="139"/>
        <v>41.6</v>
      </c>
      <c r="K107" s="58">
        <v>0.27760000000000001</v>
      </c>
      <c r="L107" s="53">
        <f t="shared" si="155"/>
        <v>28.97</v>
      </c>
      <c r="M107" s="53">
        <f t="shared" si="155"/>
        <v>24.17</v>
      </c>
      <c r="N107" s="53">
        <f t="shared" si="141"/>
        <v>53.14</v>
      </c>
      <c r="Q107" s="48"/>
      <c r="Z107" s="55">
        <v>0.75</v>
      </c>
      <c r="AA107" s="56">
        <f t="shared" si="142"/>
        <v>39.855000000000004</v>
      </c>
      <c r="AB107" s="55">
        <v>0.25</v>
      </c>
      <c r="AC107" s="56">
        <f t="shared" si="143"/>
        <v>13.285</v>
      </c>
      <c r="AE107" s="57">
        <f t="shared" si="144"/>
        <v>1</v>
      </c>
      <c r="AF107" s="50">
        <f t="shared" si="134"/>
        <v>53.14</v>
      </c>
      <c r="AG107" s="39" t="str">
        <f t="shared" si="135"/>
        <v>OK</v>
      </c>
      <c r="AJ107" s="8" t="s">
        <v>24</v>
      </c>
      <c r="AK107" s="8" t="s">
        <v>192</v>
      </c>
      <c r="AL107" s="8" t="s">
        <v>303</v>
      </c>
      <c r="AM107" s="9" t="s">
        <v>164</v>
      </c>
      <c r="AN107" s="70" t="s">
        <v>156</v>
      </c>
      <c r="AO107" s="85">
        <f>3.4*2*2.3</f>
        <v>15.639999999999999</v>
      </c>
      <c r="AP107" s="59"/>
      <c r="AQ107" s="59">
        <f t="shared" si="145"/>
        <v>1.3506402385546394</v>
      </c>
      <c r="AR107" s="59">
        <f t="shared" si="146"/>
        <v>1.4909664971057708</v>
      </c>
      <c r="AS107" s="59">
        <f t="shared" si="147"/>
        <v>2.8416067356604104</v>
      </c>
      <c r="AT107" s="88">
        <v>0.14019999999999999</v>
      </c>
      <c r="AU107" s="59">
        <v>1.54</v>
      </c>
      <c r="AV107" s="59">
        <v>1.7</v>
      </c>
      <c r="AW107" s="52">
        <f t="shared" si="148"/>
        <v>3.24</v>
      </c>
      <c r="AX107" s="53">
        <f t="shared" si="149"/>
        <v>24.085599999999999</v>
      </c>
      <c r="AY107" s="53">
        <f t="shared" si="150"/>
        <v>26.587999999999997</v>
      </c>
      <c r="AZ107" s="53">
        <f t="shared" si="151"/>
        <v>50.6736</v>
      </c>
      <c r="BC107" s="48"/>
      <c r="BJ107" s="55">
        <v>1</v>
      </c>
      <c r="BK107" s="97">
        <f t="shared" si="154"/>
        <v>50.6736</v>
      </c>
      <c r="BQ107" s="57">
        <f t="shared" si="153"/>
        <v>1</v>
      </c>
      <c r="BR107" s="50">
        <f t="shared" si="137"/>
        <v>50.6736</v>
      </c>
      <c r="BS107" s="39" t="str">
        <f t="shared" si="132"/>
        <v>OK</v>
      </c>
    </row>
    <row r="108" spans="1:71" ht="45" outlineLevel="1" x14ac:dyDescent="0.25">
      <c r="A108" s="8" t="s">
        <v>24</v>
      </c>
      <c r="B108" s="8" t="s">
        <v>193</v>
      </c>
      <c r="C108" s="8" t="s">
        <v>304</v>
      </c>
      <c r="D108" s="9" t="s">
        <v>165</v>
      </c>
      <c r="E108" s="70" t="s">
        <v>156</v>
      </c>
      <c r="F108" s="59">
        <f>3.4*2*2.3</f>
        <v>15.639999999999999</v>
      </c>
      <c r="G108" s="53">
        <v>18.690000000000001</v>
      </c>
      <c r="H108" s="53">
        <v>20.04</v>
      </c>
      <c r="I108" s="53">
        <f t="shared" si="138"/>
        <v>38.730000000000004</v>
      </c>
      <c r="J108" s="53">
        <f t="shared" si="139"/>
        <v>605.73</v>
      </c>
      <c r="K108" s="58">
        <v>0.27760000000000001</v>
      </c>
      <c r="L108" s="53">
        <f t="shared" si="155"/>
        <v>373.45</v>
      </c>
      <c r="M108" s="53">
        <f t="shared" si="155"/>
        <v>400.43</v>
      </c>
      <c r="N108" s="53">
        <f t="shared" si="141"/>
        <v>773.88</v>
      </c>
      <c r="Q108" s="48"/>
      <c r="Z108" s="55">
        <v>0.75</v>
      </c>
      <c r="AA108" s="56">
        <f t="shared" si="142"/>
        <v>580.41</v>
      </c>
      <c r="AB108" s="55">
        <v>0.25</v>
      </c>
      <c r="AC108" s="56">
        <f t="shared" si="143"/>
        <v>193.47</v>
      </c>
      <c r="AE108" s="57">
        <f t="shared" si="144"/>
        <v>1</v>
      </c>
      <c r="AF108" s="50">
        <f t="shared" si="134"/>
        <v>773.88</v>
      </c>
      <c r="AG108" s="39" t="str">
        <f t="shared" si="135"/>
        <v>OK</v>
      </c>
      <c r="AJ108" s="8" t="s">
        <v>24</v>
      </c>
      <c r="AK108" s="8" t="s">
        <v>193</v>
      </c>
      <c r="AL108" s="8" t="s">
        <v>304</v>
      </c>
      <c r="AM108" s="9" t="s">
        <v>165</v>
      </c>
      <c r="AN108" s="70" t="s">
        <v>156</v>
      </c>
      <c r="AO108" s="85">
        <f>3.4*2*2.3</f>
        <v>15.639999999999999</v>
      </c>
      <c r="AP108" s="59"/>
      <c r="AQ108" s="59">
        <f t="shared" si="145"/>
        <v>24.215049991229606</v>
      </c>
      <c r="AR108" s="59">
        <f t="shared" si="146"/>
        <v>18.996667251359408</v>
      </c>
      <c r="AS108" s="59">
        <f t="shared" si="147"/>
        <v>43.21171724258901</v>
      </c>
      <c r="AT108" s="88">
        <v>0.14019999999999999</v>
      </c>
      <c r="AU108" s="59">
        <v>27.61</v>
      </c>
      <c r="AV108" s="59">
        <v>21.66</v>
      </c>
      <c r="AW108" s="52">
        <f t="shared" si="148"/>
        <v>49.269999999999996</v>
      </c>
      <c r="AX108" s="53">
        <f t="shared" si="149"/>
        <v>431.82039999999995</v>
      </c>
      <c r="AY108" s="53">
        <f t="shared" si="150"/>
        <v>338.76239999999996</v>
      </c>
      <c r="AZ108" s="53">
        <f t="shared" si="151"/>
        <v>770.58279999999991</v>
      </c>
      <c r="BC108" s="48"/>
      <c r="BJ108" s="55">
        <v>1</v>
      </c>
      <c r="BK108" s="97">
        <f t="shared" si="154"/>
        <v>770.58279999999991</v>
      </c>
      <c r="BQ108" s="57">
        <f t="shared" si="153"/>
        <v>1</v>
      </c>
      <c r="BR108" s="50">
        <f t="shared" si="137"/>
        <v>770.58279999999991</v>
      </c>
      <c r="BS108" s="39" t="str">
        <f t="shared" si="132"/>
        <v>OK</v>
      </c>
    </row>
    <row r="109" spans="1:71" ht="30" outlineLevel="1" x14ac:dyDescent="0.25">
      <c r="A109" s="8" t="s">
        <v>24</v>
      </c>
      <c r="B109" s="8" t="s">
        <v>194</v>
      </c>
      <c r="C109" s="8" t="s">
        <v>305</v>
      </c>
      <c r="D109" s="9" t="s">
        <v>166</v>
      </c>
      <c r="E109" s="70" t="s">
        <v>151</v>
      </c>
      <c r="F109" s="59">
        <v>0.64</v>
      </c>
      <c r="G109" s="53">
        <f>0.48+323.43+0.7</f>
        <v>324.61</v>
      </c>
      <c r="H109" s="53">
        <v>123</v>
      </c>
      <c r="I109" s="53">
        <f t="shared" si="138"/>
        <v>447.61</v>
      </c>
      <c r="J109" s="53">
        <f t="shared" si="139"/>
        <v>286.47000000000003</v>
      </c>
      <c r="K109" s="58">
        <v>0.27760000000000001</v>
      </c>
      <c r="L109" s="53">
        <f t="shared" si="155"/>
        <v>265.42</v>
      </c>
      <c r="M109" s="53">
        <f t="shared" si="155"/>
        <v>100.57</v>
      </c>
      <c r="N109" s="53">
        <f t="shared" si="141"/>
        <v>365.99</v>
      </c>
      <c r="Q109" s="48"/>
      <c r="Z109" s="55">
        <v>0.75</v>
      </c>
      <c r="AA109" s="56">
        <f t="shared" si="142"/>
        <v>274.49250000000001</v>
      </c>
      <c r="AB109" s="55">
        <v>0.25</v>
      </c>
      <c r="AC109" s="56">
        <f t="shared" si="143"/>
        <v>91.497500000000002</v>
      </c>
      <c r="AE109" s="57">
        <f t="shared" si="144"/>
        <v>1</v>
      </c>
      <c r="AF109" s="50">
        <f t="shared" si="134"/>
        <v>365.99</v>
      </c>
      <c r="AG109" s="39" t="str">
        <f t="shared" si="135"/>
        <v>OK</v>
      </c>
      <c r="AJ109" s="8" t="s">
        <v>24</v>
      </c>
      <c r="AK109" s="8" t="s">
        <v>194</v>
      </c>
      <c r="AL109" s="8" t="s">
        <v>305</v>
      </c>
      <c r="AM109" s="9" t="s">
        <v>166</v>
      </c>
      <c r="AN109" s="70" t="s">
        <v>151</v>
      </c>
      <c r="AO109" s="85">
        <v>0.64</v>
      </c>
      <c r="AP109" s="59"/>
      <c r="AQ109" s="59">
        <f t="shared" si="145"/>
        <v>143.20294685142957</v>
      </c>
      <c r="AR109" s="59">
        <f t="shared" si="146"/>
        <v>328.36344500964736</v>
      </c>
      <c r="AS109" s="59">
        <f t="shared" si="147"/>
        <v>471.56639186107691</v>
      </c>
      <c r="AT109" s="88">
        <v>0.14019999999999999</v>
      </c>
      <c r="AU109" s="59">
        <v>163.28</v>
      </c>
      <c r="AV109" s="59">
        <v>374.4</v>
      </c>
      <c r="AW109" s="52">
        <f t="shared" si="148"/>
        <v>537.67999999999995</v>
      </c>
      <c r="AX109" s="53">
        <f>$AO109*AU109-0.01</f>
        <v>104.4892</v>
      </c>
      <c r="AY109" s="53">
        <f t="shared" si="150"/>
        <v>239.61599999999999</v>
      </c>
      <c r="AZ109" s="89">
        <f t="shared" ref="AZ109" si="158">AX109+AY109</f>
        <v>344.10519999999997</v>
      </c>
      <c r="BC109" s="48"/>
      <c r="BJ109" s="55">
        <v>1</v>
      </c>
      <c r="BK109" s="97">
        <f t="shared" si="154"/>
        <v>344.10519999999997</v>
      </c>
      <c r="BQ109" s="57">
        <f t="shared" si="153"/>
        <v>1</v>
      </c>
      <c r="BR109" s="50">
        <f t="shared" si="137"/>
        <v>344.10519999999997</v>
      </c>
      <c r="BS109" s="39" t="str">
        <f t="shared" si="132"/>
        <v>OK</v>
      </c>
    </row>
    <row r="110" spans="1:71" ht="30" outlineLevel="1" x14ac:dyDescent="0.25">
      <c r="A110" s="8" t="s">
        <v>24</v>
      </c>
      <c r="B110" s="8" t="s">
        <v>195</v>
      </c>
      <c r="C110" s="8" t="s">
        <v>306</v>
      </c>
      <c r="D110" s="9" t="s">
        <v>167</v>
      </c>
      <c r="E110" s="70" t="s">
        <v>156</v>
      </c>
      <c r="F110" s="59">
        <v>6.02</v>
      </c>
      <c r="G110" s="53">
        <f>0.02+15.02+0.02</f>
        <v>15.059999999999999</v>
      </c>
      <c r="H110" s="53">
        <v>8.01</v>
      </c>
      <c r="I110" s="53">
        <f t="shared" si="138"/>
        <v>23.07</v>
      </c>
      <c r="J110" s="53">
        <f t="shared" si="139"/>
        <v>138.88</v>
      </c>
      <c r="K110" s="58">
        <v>0.27760000000000001</v>
      </c>
      <c r="L110" s="53">
        <f t="shared" si="155"/>
        <v>115.82</v>
      </c>
      <c r="M110" s="53">
        <f t="shared" si="155"/>
        <v>61.6</v>
      </c>
      <c r="N110" s="53">
        <f t="shared" si="141"/>
        <v>177.42</v>
      </c>
      <c r="Q110" s="48"/>
      <c r="Z110" s="55">
        <v>0.75</v>
      </c>
      <c r="AA110" s="56">
        <f t="shared" si="142"/>
        <v>133.065</v>
      </c>
      <c r="AB110" s="55">
        <v>0.25</v>
      </c>
      <c r="AC110" s="56">
        <f t="shared" si="143"/>
        <v>44.354999999999997</v>
      </c>
      <c r="AE110" s="57">
        <f t="shared" si="144"/>
        <v>1</v>
      </c>
      <c r="AF110" s="50">
        <f t="shared" si="134"/>
        <v>177.42</v>
      </c>
      <c r="AG110" s="39" t="str">
        <f t="shared" si="135"/>
        <v>OK</v>
      </c>
      <c r="AJ110" s="8" t="s">
        <v>24</v>
      </c>
      <c r="AK110" s="8" t="s">
        <v>195</v>
      </c>
      <c r="AL110" s="8" t="s">
        <v>306</v>
      </c>
      <c r="AM110" s="9" t="s">
        <v>167</v>
      </c>
      <c r="AN110" s="70" t="s">
        <v>156</v>
      </c>
      <c r="AO110" s="85">
        <v>6.02</v>
      </c>
      <c r="AP110" s="59"/>
      <c r="AQ110" s="59">
        <f t="shared" si="145"/>
        <v>7.5688475706016485</v>
      </c>
      <c r="AR110" s="59">
        <f t="shared" si="146"/>
        <v>12.296088405542886</v>
      </c>
      <c r="AS110" s="59">
        <f t="shared" si="147"/>
        <v>19.864935976144533</v>
      </c>
      <c r="AT110" s="88">
        <v>0.14019999999999999</v>
      </c>
      <c r="AU110" s="59">
        <v>8.6300000000000008</v>
      </c>
      <c r="AV110" s="59">
        <v>14.02</v>
      </c>
      <c r="AW110" s="52">
        <f t="shared" si="148"/>
        <v>22.65</v>
      </c>
      <c r="AX110" s="53">
        <f t="shared" si="149"/>
        <v>51.952600000000004</v>
      </c>
      <c r="AY110" s="53">
        <f t="shared" si="150"/>
        <v>84.400399999999991</v>
      </c>
      <c r="AZ110" s="53">
        <f t="shared" si="151"/>
        <v>136.35299999999998</v>
      </c>
      <c r="BC110" s="48"/>
      <c r="BJ110" s="55">
        <v>1</v>
      </c>
      <c r="BK110" s="97">
        <f t="shared" si="154"/>
        <v>136.35299999999998</v>
      </c>
      <c r="BQ110" s="57">
        <f t="shared" si="153"/>
        <v>1</v>
      </c>
      <c r="BR110" s="50">
        <f t="shared" si="137"/>
        <v>136.35299999999998</v>
      </c>
      <c r="BS110" s="39" t="str">
        <f t="shared" si="132"/>
        <v>OK</v>
      </c>
    </row>
    <row r="111" spans="1:71" ht="30" outlineLevel="1" x14ac:dyDescent="0.25">
      <c r="A111" s="8" t="s">
        <v>24</v>
      </c>
      <c r="B111" s="8" t="s">
        <v>196</v>
      </c>
      <c r="C111" s="8" t="s">
        <v>307</v>
      </c>
      <c r="D111" s="9" t="s">
        <v>168</v>
      </c>
      <c r="E111" s="8" t="s">
        <v>149</v>
      </c>
      <c r="F111" s="59">
        <v>1</v>
      </c>
      <c r="G111" s="53">
        <v>22.94</v>
      </c>
      <c r="H111" s="53">
        <v>11.58</v>
      </c>
      <c r="I111" s="53">
        <f t="shared" si="138"/>
        <v>34.520000000000003</v>
      </c>
      <c r="J111" s="53">
        <f t="shared" si="139"/>
        <v>34.520000000000003</v>
      </c>
      <c r="K111" s="58">
        <v>0.27760000000000001</v>
      </c>
      <c r="L111" s="53">
        <f t="shared" si="155"/>
        <v>29.3</v>
      </c>
      <c r="M111" s="53">
        <f t="shared" si="155"/>
        <v>14.79</v>
      </c>
      <c r="N111" s="53">
        <f t="shared" si="141"/>
        <v>44.09</v>
      </c>
      <c r="Q111" s="48"/>
      <c r="Z111" s="55">
        <v>0.75</v>
      </c>
      <c r="AA111" s="56">
        <f t="shared" si="142"/>
        <v>33.067500000000003</v>
      </c>
      <c r="AB111" s="55">
        <v>0.25</v>
      </c>
      <c r="AC111" s="56">
        <f t="shared" si="143"/>
        <v>11.022500000000001</v>
      </c>
      <c r="AE111" s="57">
        <f t="shared" si="144"/>
        <v>1</v>
      </c>
      <c r="AF111" s="50">
        <f t="shared" si="134"/>
        <v>44.09</v>
      </c>
      <c r="AG111" s="39" t="str">
        <f t="shared" si="135"/>
        <v>OK</v>
      </c>
      <c r="AJ111" s="8" t="s">
        <v>24</v>
      </c>
      <c r="AK111" s="8" t="s">
        <v>196</v>
      </c>
      <c r="AL111" s="8" t="s">
        <v>307</v>
      </c>
      <c r="AM111" s="9" t="s">
        <v>168</v>
      </c>
      <c r="AN111" s="8" t="s">
        <v>149</v>
      </c>
      <c r="AO111" s="85">
        <v>1</v>
      </c>
      <c r="AP111" s="59"/>
      <c r="AQ111" s="59">
        <f t="shared" si="145"/>
        <v>13.988773899315907</v>
      </c>
      <c r="AR111" s="59">
        <f t="shared" si="146"/>
        <v>20.601648833537972</v>
      </c>
      <c r="AS111" s="59">
        <f t="shared" si="147"/>
        <v>34.590422732853881</v>
      </c>
      <c r="AT111" s="88">
        <v>0.14019999999999999</v>
      </c>
      <c r="AU111" s="59">
        <v>15.95</v>
      </c>
      <c r="AV111" s="59">
        <v>23.49</v>
      </c>
      <c r="AW111" s="52">
        <f t="shared" si="148"/>
        <v>39.44</v>
      </c>
      <c r="AX111" s="53">
        <f t="shared" si="149"/>
        <v>15.95</v>
      </c>
      <c r="AY111" s="53">
        <f t="shared" si="150"/>
        <v>23.49</v>
      </c>
      <c r="AZ111" s="53">
        <f t="shared" si="151"/>
        <v>39.44</v>
      </c>
      <c r="BC111" s="48"/>
      <c r="BJ111" s="55">
        <v>1</v>
      </c>
      <c r="BK111" s="97">
        <f t="shared" si="154"/>
        <v>39.44</v>
      </c>
      <c r="BQ111" s="57">
        <f t="shared" si="153"/>
        <v>1</v>
      </c>
      <c r="BR111" s="50">
        <f t="shared" si="137"/>
        <v>39.44</v>
      </c>
      <c r="BS111" s="39" t="str">
        <f t="shared" si="132"/>
        <v>OK</v>
      </c>
    </row>
    <row r="112" spans="1:71" ht="30" outlineLevel="1" x14ac:dyDescent="0.25">
      <c r="A112" s="8" t="s">
        <v>24</v>
      </c>
      <c r="B112" s="8" t="s">
        <v>197</v>
      </c>
      <c r="C112" s="8" t="s">
        <v>308</v>
      </c>
      <c r="D112" s="9" t="s">
        <v>169</v>
      </c>
      <c r="E112" s="8" t="s">
        <v>149</v>
      </c>
      <c r="F112" s="59">
        <v>1</v>
      </c>
      <c r="G112" s="53">
        <v>69.45</v>
      </c>
      <c r="H112" s="53">
        <v>7.58</v>
      </c>
      <c r="I112" s="53">
        <f t="shared" si="138"/>
        <v>77.03</v>
      </c>
      <c r="J112" s="53">
        <f t="shared" si="139"/>
        <v>77.03</v>
      </c>
      <c r="K112" s="58">
        <v>0.27760000000000001</v>
      </c>
      <c r="L112" s="53">
        <f t="shared" si="155"/>
        <v>88.72</v>
      </c>
      <c r="M112" s="53">
        <f t="shared" si="155"/>
        <v>9.68</v>
      </c>
      <c r="N112" s="53">
        <f t="shared" si="141"/>
        <v>98.4</v>
      </c>
      <c r="Q112" s="48"/>
      <c r="Z112" s="55">
        <v>0.75</v>
      </c>
      <c r="AA112" s="56">
        <f t="shared" si="142"/>
        <v>73.800000000000011</v>
      </c>
      <c r="AB112" s="55">
        <v>0.25</v>
      </c>
      <c r="AC112" s="56">
        <f t="shared" si="143"/>
        <v>24.6</v>
      </c>
      <c r="AE112" s="57">
        <f t="shared" si="144"/>
        <v>1</v>
      </c>
      <c r="AF112" s="50">
        <f t="shared" si="134"/>
        <v>98.4</v>
      </c>
      <c r="AG112" s="39" t="str">
        <f t="shared" si="135"/>
        <v>OK</v>
      </c>
      <c r="AJ112" s="8" t="s">
        <v>24</v>
      </c>
      <c r="AK112" s="8" t="s">
        <v>197</v>
      </c>
      <c r="AL112" s="8" t="s">
        <v>308</v>
      </c>
      <c r="AM112" s="9" t="s">
        <v>169</v>
      </c>
      <c r="AN112" s="8" t="s">
        <v>149</v>
      </c>
      <c r="AO112" s="85">
        <v>1</v>
      </c>
      <c r="AP112" s="59"/>
      <c r="AQ112" s="59">
        <f t="shared" si="145"/>
        <v>9.1825995439396593</v>
      </c>
      <c r="AR112" s="59">
        <f t="shared" si="146"/>
        <v>69.707068935274506</v>
      </c>
      <c r="AS112" s="59">
        <f t="shared" si="147"/>
        <v>78.889668479214166</v>
      </c>
      <c r="AT112" s="88">
        <v>0.14019999999999999</v>
      </c>
      <c r="AU112" s="59">
        <v>10.47</v>
      </c>
      <c r="AV112" s="59">
        <v>79.48</v>
      </c>
      <c r="AW112" s="52">
        <f t="shared" si="148"/>
        <v>89.95</v>
      </c>
      <c r="AX112" s="53">
        <f t="shared" si="149"/>
        <v>10.47</v>
      </c>
      <c r="AY112" s="53">
        <f t="shared" si="150"/>
        <v>79.48</v>
      </c>
      <c r="AZ112" s="53">
        <f t="shared" si="151"/>
        <v>89.95</v>
      </c>
      <c r="BC112" s="48"/>
      <c r="BJ112" s="55">
        <v>1</v>
      </c>
      <c r="BK112" s="97">
        <f t="shared" si="154"/>
        <v>89.95</v>
      </c>
      <c r="BQ112" s="57">
        <f t="shared" si="153"/>
        <v>1</v>
      </c>
      <c r="BR112" s="50">
        <f t="shared" si="137"/>
        <v>89.95</v>
      </c>
      <c r="BS112" s="39" t="str">
        <f t="shared" si="132"/>
        <v>OK</v>
      </c>
    </row>
    <row r="113" spans="1:71" ht="30" outlineLevel="1" x14ac:dyDescent="0.25">
      <c r="A113" s="8" t="s">
        <v>24</v>
      </c>
      <c r="B113" s="8" t="s">
        <v>198</v>
      </c>
      <c r="C113" s="8" t="s">
        <v>391</v>
      </c>
      <c r="D113" s="9" t="s">
        <v>392</v>
      </c>
      <c r="E113" s="8" t="s">
        <v>149</v>
      </c>
      <c r="F113" s="59">
        <v>5.5</v>
      </c>
      <c r="G113" s="53">
        <v>526.66</v>
      </c>
      <c r="H113" s="53">
        <v>136.22</v>
      </c>
      <c r="I113" s="53">
        <f t="shared" si="138"/>
        <v>662.88</v>
      </c>
      <c r="J113" s="53">
        <f t="shared" si="139"/>
        <v>3645.84</v>
      </c>
      <c r="K113" s="58">
        <v>0.27760000000000001</v>
      </c>
      <c r="L113" s="53">
        <f t="shared" si="155"/>
        <v>3700.73</v>
      </c>
      <c r="M113" s="53">
        <f t="shared" si="155"/>
        <v>957.19</v>
      </c>
      <c r="N113" s="53">
        <f t="shared" si="141"/>
        <v>4657.92</v>
      </c>
      <c r="Q113" s="48"/>
      <c r="Z113" s="55">
        <v>0.75</v>
      </c>
      <c r="AA113" s="56">
        <f t="shared" si="142"/>
        <v>3493.44</v>
      </c>
      <c r="AB113" s="55">
        <v>0.25</v>
      </c>
      <c r="AC113" s="56">
        <f t="shared" si="143"/>
        <v>1164.48</v>
      </c>
      <c r="AE113" s="57">
        <f t="shared" si="144"/>
        <v>1</v>
      </c>
      <c r="AF113" s="50">
        <f t="shared" si="134"/>
        <v>4657.92</v>
      </c>
      <c r="AG113" s="39" t="str">
        <f t="shared" si="135"/>
        <v>OK</v>
      </c>
      <c r="AJ113" s="8" t="s">
        <v>24</v>
      </c>
      <c r="AK113" s="8" t="s">
        <v>198</v>
      </c>
      <c r="AL113" s="8" t="s">
        <v>391</v>
      </c>
      <c r="AM113" s="9" t="s">
        <v>392</v>
      </c>
      <c r="AN113" s="8" t="s">
        <v>149</v>
      </c>
      <c r="AO113" s="85">
        <v>5.5</v>
      </c>
      <c r="AP113" s="59"/>
      <c r="AQ113" s="59">
        <f t="shared" si="145"/>
        <v>161.05069286090159</v>
      </c>
      <c r="AR113" s="59">
        <f t="shared" si="146"/>
        <v>532.23118751096297</v>
      </c>
      <c r="AS113" s="59">
        <f t="shared" si="147"/>
        <v>693.28188037186453</v>
      </c>
      <c r="AT113" s="88">
        <v>0.14019999999999999</v>
      </c>
      <c r="AU113" s="59">
        <v>183.63</v>
      </c>
      <c r="AV113" s="59">
        <v>606.85</v>
      </c>
      <c r="AW113" s="52">
        <f t="shared" si="148"/>
        <v>790.48</v>
      </c>
      <c r="AX113" s="53">
        <f t="shared" si="149"/>
        <v>1009.9649999999999</v>
      </c>
      <c r="AY113" s="53">
        <f t="shared" si="150"/>
        <v>3337.6750000000002</v>
      </c>
      <c r="AZ113" s="53">
        <f t="shared" si="151"/>
        <v>4347.6400000000003</v>
      </c>
      <c r="BC113" s="48"/>
      <c r="BJ113" s="55">
        <v>1</v>
      </c>
      <c r="BK113" s="97">
        <f t="shared" si="154"/>
        <v>4347.6400000000003</v>
      </c>
      <c r="BQ113" s="57">
        <f t="shared" si="153"/>
        <v>1</v>
      </c>
      <c r="BR113" s="50">
        <f t="shared" si="137"/>
        <v>4347.6400000000003</v>
      </c>
      <c r="BS113" s="39" t="str">
        <f t="shared" si="132"/>
        <v>OK</v>
      </c>
    </row>
    <row r="114" spans="1:71" ht="30" outlineLevel="1" x14ac:dyDescent="0.25">
      <c r="A114" s="8" t="s">
        <v>24</v>
      </c>
      <c r="B114" s="8" t="s">
        <v>199</v>
      </c>
      <c r="C114" s="8" t="s">
        <v>309</v>
      </c>
      <c r="D114" s="9" t="s">
        <v>170</v>
      </c>
      <c r="E114" s="8" t="s">
        <v>17</v>
      </c>
      <c r="F114" s="59">
        <v>50</v>
      </c>
      <c r="G114" s="53">
        <v>4.66</v>
      </c>
      <c r="H114" s="53">
        <v>2.69</v>
      </c>
      <c r="I114" s="53">
        <f t="shared" si="138"/>
        <v>7.35</v>
      </c>
      <c r="J114" s="53">
        <f t="shared" si="139"/>
        <v>367.5</v>
      </c>
      <c r="K114" s="58">
        <v>0.27760000000000001</v>
      </c>
      <c r="L114" s="53">
        <f t="shared" si="155"/>
        <v>297.68</v>
      </c>
      <c r="M114" s="53">
        <f t="shared" si="155"/>
        <v>171.83</v>
      </c>
      <c r="N114" s="53">
        <f t="shared" si="141"/>
        <v>469.51</v>
      </c>
      <c r="Q114" s="48"/>
      <c r="Z114" s="55">
        <v>0.75</v>
      </c>
      <c r="AA114" s="56">
        <f t="shared" si="142"/>
        <v>352.13249999999999</v>
      </c>
      <c r="AB114" s="55">
        <v>0.25</v>
      </c>
      <c r="AC114" s="56">
        <f t="shared" si="143"/>
        <v>117.3775</v>
      </c>
      <c r="AE114" s="57">
        <f t="shared" si="144"/>
        <v>1</v>
      </c>
      <c r="AF114" s="50">
        <f t="shared" si="134"/>
        <v>469.51</v>
      </c>
      <c r="AG114" s="39" t="str">
        <f t="shared" si="135"/>
        <v>OK</v>
      </c>
      <c r="AJ114" s="8" t="s">
        <v>24</v>
      </c>
      <c r="AK114" s="8" t="s">
        <v>199</v>
      </c>
      <c r="AL114" s="8" t="s">
        <v>309</v>
      </c>
      <c r="AM114" s="9" t="s">
        <v>170</v>
      </c>
      <c r="AN114" s="8" t="s">
        <v>17</v>
      </c>
      <c r="AO114" s="85">
        <v>50</v>
      </c>
      <c r="AP114" s="59"/>
      <c r="AQ114" s="59">
        <f t="shared" si="145"/>
        <v>3.2187335555165757</v>
      </c>
      <c r="AR114" s="59">
        <f t="shared" si="146"/>
        <v>4.8500263111734778</v>
      </c>
      <c r="AS114" s="59">
        <f t="shared" si="147"/>
        <v>8.0687598666900531</v>
      </c>
      <c r="AT114" s="88">
        <v>0.14019999999999999</v>
      </c>
      <c r="AU114" s="59">
        <v>3.67</v>
      </c>
      <c r="AV114" s="59">
        <v>5.53</v>
      </c>
      <c r="AW114" s="52">
        <f t="shared" si="148"/>
        <v>9.1999999999999993</v>
      </c>
      <c r="AX114" s="53">
        <f t="shared" si="149"/>
        <v>183.5</v>
      </c>
      <c r="AY114" s="53">
        <f t="shared" si="150"/>
        <v>276.5</v>
      </c>
      <c r="AZ114" s="53">
        <f t="shared" si="151"/>
        <v>459.99999999999994</v>
      </c>
      <c r="BC114" s="48"/>
      <c r="BJ114" s="55">
        <v>1</v>
      </c>
      <c r="BK114" s="97">
        <f t="shared" si="154"/>
        <v>459.99999999999994</v>
      </c>
      <c r="BQ114" s="57">
        <f t="shared" si="153"/>
        <v>1</v>
      </c>
      <c r="BR114" s="50">
        <f t="shared" si="137"/>
        <v>459.99999999999994</v>
      </c>
      <c r="BS114" s="39" t="str">
        <f t="shared" si="132"/>
        <v>OK</v>
      </c>
    </row>
    <row r="115" spans="1:71" ht="30" outlineLevel="1" x14ac:dyDescent="0.25">
      <c r="A115" s="8" t="s">
        <v>24</v>
      </c>
      <c r="B115" s="8" t="s">
        <v>200</v>
      </c>
      <c r="C115" s="8" t="s">
        <v>310</v>
      </c>
      <c r="D115" s="9" t="s">
        <v>171</v>
      </c>
      <c r="E115" s="8" t="s">
        <v>17</v>
      </c>
      <c r="F115" s="59">
        <v>100</v>
      </c>
      <c r="G115" s="53">
        <v>1.61</v>
      </c>
      <c r="H115" s="53">
        <v>0.63</v>
      </c>
      <c r="I115" s="53">
        <f t="shared" si="138"/>
        <v>2.2400000000000002</v>
      </c>
      <c r="J115" s="53">
        <f t="shared" si="139"/>
        <v>224</v>
      </c>
      <c r="K115" s="58">
        <v>0.27760000000000001</v>
      </c>
      <c r="L115" s="53">
        <f t="shared" si="155"/>
        <v>205.69</v>
      </c>
      <c r="M115" s="53">
        <f t="shared" si="155"/>
        <v>80.48</v>
      </c>
      <c r="N115" s="53">
        <f t="shared" si="141"/>
        <v>286.17</v>
      </c>
      <c r="Q115" s="48"/>
      <c r="Z115" s="55">
        <v>0.75</v>
      </c>
      <c r="AA115" s="56">
        <f t="shared" si="142"/>
        <v>214.6275</v>
      </c>
      <c r="AB115" s="55">
        <v>0.25</v>
      </c>
      <c r="AC115" s="56">
        <f t="shared" si="143"/>
        <v>71.542500000000004</v>
      </c>
      <c r="AE115" s="57">
        <f t="shared" si="144"/>
        <v>1</v>
      </c>
      <c r="AF115" s="50">
        <f t="shared" si="134"/>
        <v>286.17</v>
      </c>
      <c r="AG115" s="39" t="str">
        <f t="shared" si="135"/>
        <v>OK</v>
      </c>
      <c r="AJ115" s="8" t="s">
        <v>24</v>
      </c>
      <c r="AK115" s="8" t="s">
        <v>200</v>
      </c>
      <c r="AL115" s="8" t="s">
        <v>310</v>
      </c>
      <c r="AM115" s="9" t="s">
        <v>171</v>
      </c>
      <c r="AN115" s="8" t="s">
        <v>17</v>
      </c>
      <c r="AO115" s="85">
        <v>100</v>
      </c>
      <c r="AP115" s="59"/>
      <c r="AQ115" s="59">
        <f t="shared" si="145"/>
        <v>0.75425363971233106</v>
      </c>
      <c r="AR115" s="59">
        <f t="shared" si="146"/>
        <v>1.5085072794246621</v>
      </c>
      <c r="AS115" s="59">
        <f t="shared" si="147"/>
        <v>2.2627609191369933</v>
      </c>
      <c r="AT115" s="88">
        <v>0.14019999999999999</v>
      </c>
      <c r="AU115" s="59">
        <v>0.86</v>
      </c>
      <c r="AV115" s="59">
        <v>1.72</v>
      </c>
      <c r="AW115" s="52">
        <f t="shared" si="148"/>
        <v>2.58</v>
      </c>
      <c r="AX115" s="53">
        <f t="shared" si="149"/>
        <v>86</v>
      </c>
      <c r="AY115" s="53">
        <f t="shared" si="150"/>
        <v>172</v>
      </c>
      <c r="AZ115" s="53">
        <f t="shared" si="151"/>
        <v>258</v>
      </c>
      <c r="BC115" s="48"/>
      <c r="BJ115" s="55">
        <v>1</v>
      </c>
      <c r="BK115" s="97">
        <f t="shared" si="154"/>
        <v>258</v>
      </c>
      <c r="BQ115" s="57">
        <f t="shared" si="153"/>
        <v>1</v>
      </c>
      <c r="BR115" s="50">
        <f t="shared" si="137"/>
        <v>258</v>
      </c>
      <c r="BS115" s="39" t="str">
        <f t="shared" si="132"/>
        <v>OK</v>
      </c>
    </row>
    <row r="116" spans="1:71" outlineLevel="1" x14ac:dyDescent="0.25">
      <c r="A116" s="8" t="s">
        <v>24</v>
      </c>
      <c r="B116" s="8" t="s">
        <v>201</v>
      </c>
      <c r="C116" s="8" t="s">
        <v>311</v>
      </c>
      <c r="D116" s="9" t="s">
        <v>172</v>
      </c>
      <c r="E116" s="8" t="s">
        <v>156</v>
      </c>
      <c r="F116" s="59">
        <v>30</v>
      </c>
      <c r="G116" s="53">
        <v>2.16</v>
      </c>
      <c r="H116" s="53">
        <v>0.41</v>
      </c>
      <c r="I116" s="53">
        <f t="shared" si="138"/>
        <v>2.5700000000000003</v>
      </c>
      <c r="J116" s="53">
        <f t="shared" si="139"/>
        <v>77.099999999999994</v>
      </c>
      <c r="K116" s="58">
        <v>0.27760000000000001</v>
      </c>
      <c r="L116" s="53">
        <f t="shared" si="155"/>
        <v>82.78</v>
      </c>
      <c r="M116" s="53">
        <f t="shared" si="155"/>
        <v>15.71</v>
      </c>
      <c r="N116" s="53">
        <f t="shared" si="141"/>
        <v>98.490000000000009</v>
      </c>
      <c r="Q116" s="48"/>
      <c r="Z116" s="55">
        <v>0.75</v>
      </c>
      <c r="AA116" s="56">
        <f t="shared" si="142"/>
        <v>73.867500000000007</v>
      </c>
      <c r="AB116" s="55">
        <v>0.25</v>
      </c>
      <c r="AC116" s="56">
        <f t="shared" si="143"/>
        <v>24.622500000000002</v>
      </c>
      <c r="AE116" s="57">
        <f t="shared" si="144"/>
        <v>1</v>
      </c>
      <c r="AF116" s="50">
        <f t="shared" si="134"/>
        <v>98.490000000000009</v>
      </c>
      <c r="AG116" s="39" t="str">
        <f t="shared" si="135"/>
        <v>OK</v>
      </c>
      <c r="AJ116" s="8" t="s">
        <v>24</v>
      </c>
      <c r="AK116" s="8" t="s">
        <v>201</v>
      </c>
      <c r="AL116" s="8" t="s">
        <v>311</v>
      </c>
      <c r="AM116" s="9" t="s">
        <v>172</v>
      </c>
      <c r="AN116" s="8" t="s">
        <v>156</v>
      </c>
      <c r="AO116" s="85">
        <v>30</v>
      </c>
      <c r="AP116" s="59"/>
      <c r="AQ116" s="59">
        <f t="shared" si="145"/>
        <v>0.50868268724785115</v>
      </c>
      <c r="AR116" s="59">
        <f t="shared" si="146"/>
        <v>2.1312050517453076</v>
      </c>
      <c r="AS116" s="59">
        <f t="shared" si="147"/>
        <v>2.639887738993159</v>
      </c>
      <c r="AT116" s="88">
        <v>0.14019999999999999</v>
      </c>
      <c r="AU116" s="59">
        <v>0.57999999999999996</v>
      </c>
      <c r="AV116" s="59">
        <v>2.4300000000000002</v>
      </c>
      <c r="AW116" s="52">
        <f t="shared" si="148"/>
        <v>3.0100000000000002</v>
      </c>
      <c r="AX116" s="53">
        <f t="shared" si="149"/>
        <v>17.399999999999999</v>
      </c>
      <c r="AY116" s="53">
        <f t="shared" si="150"/>
        <v>72.900000000000006</v>
      </c>
      <c r="AZ116" s="53">
        <f t="shared" si="151"/>
        <v>90.300000000000011</v>
      </c>
      <c r="BC116" s="48"/>
      <c r="BJ116" s="55">
        <v>1</v>
      </c>
      <c r="BK116" s="97">
        <f t="shared" si="154"/>
        <v>90.300000000000011</v>
      </c>
      <c r="BQ116" s="57">
        <f t="shared" si="153"/>
        <v>1</v>
      </c>
      <c r="BR116" s="50">
        <f t="shared" si="137"/>
        <v>90.300000000000011</v>
      </c>
      <c r="BS116" s="39" t="str">
        <f t="shared" si="132"/>
        <v>OK</v>
      </c>
    </row>
    <row r="117" spans="1:71" ht="30" outlineLevel="1" x14ac:dyDescent="0.25">
      <c r="A117" s="8" t="s">
        <v>24</v>
      </c>
      <c r="B117" s="8" t="s">
        <v>202</v>
      </c>
      <c r="C117" s="8" t="s">
        <v>312</v>
      </c>
      <c r="D117" s="9" t="s">
        <v>173</v>
      </c>
      <c r="E117" s="8" t="s">
        <v>156</v>
      </c>
      <c r="F117" s="59">
        <v>15.84</v>
      </c>
      <c r="G117" s="53">
        <v>11.28</v>
      </c>
      <c r="H117" s="53">
        <v>3.57</v>
      </c>
      <c r="I117" s="53">
        <f t="shared" si="138"/>
        <v>14.85</v>
      </c>
      <c r="J117" s="53">
        <f t="shared" si="139"/>
        <v>235.22</v>
      </c>
      <c r="K117" s="58">
        <v>0.27760000000000001</v>
      </c>
      <c r="L117" s="53">
        <f t="shared" si="155"/>
        <v>228.27</v>
      </c>
      <c r="M117" s="53">
        <f t="shared" si="155"/>
        <v>72.239999999999995</v>
      </c>
      <c r="N117" s="53">
        <f t="shared" si="141"/>
        <v>300.51</v>
      </c>
      <c r="Q117" s="48"/>
      <c r="Z117" s="55">
        <v>0.75</v>
      </c>
      <c r="AA117" s="56">
        <f t="shared" si="142"/>
        <v>225.38249999999999</v>
      </c>
      <c r="AB117" s="55">
        <v>0.25</v>
      </c>
      <c r="AC117" s="56">
        <f t="shared" si="143"/>
        <v>75.127499999999998</v>
      </c>
      <c r="AE117" s="57">
        <f t="shared" si="144"/>
        <v>1</v>
      </c>
      <c r="AF117" s="50">
        <f t="shared" si="134"/>
        <v>300.51</v>
      </c>
      <c r="AG117" s="39" t="str">
        <f t="shared" si="135"/>
        <v>OK</v>
      </c>
      <c r="AJ117" s="8" t="s">
        <v>24</v>
      </c>
      <c r="AK117" s="8" t="s">
        <v>202</v>
      </c>
      <c r="AL117" s="8" t="s">
        <v>312</v>
      </c>
      <c r="AM117" s="9" t="s">
        <v>173</v>
      </c>
      <c r="AN117" s="8" t="s">
        <v>156</v>
      </c>
      <c r="AO117" s="85">
        <v>15.84</v>
      </c>
      <c r="AP117" s="59"/>
      <c r="AQ117" s="59">
        <f t="shared" si="145"/>
        <v>4.3325732327661814</v>
      </c>
      <c r="AR117" s="59">
        <f t="shared" si="146"/>
        <v>11.831257674092264</v>
      </c>
      <c r="AS117" s="59">
        <f t="shared" si="147"/>
        <v>16.163830906858443</v>
      </c>
      <c r="AT117" s="88">
        <v>0.14019999999999999</v>
      </c>
      <c r="AU117" s="59">
        <v>4.9400000000000004</v>
      </c>
      <c r="AV117" s="59">
        <v>13.49</v>
      </c>
      <c r="AW117" s="52">
        <f t="shared" si="148"/>
        <v>18.43</v>
      </c>
      <c r="AX117" s="53">
        <f t="shared" si="149"/>
        <v>78.249600000000001</v>
      </c>
      <c r="AY117" s="53">
        <f t="shared" si="150"/>
        <v>213.6816</v>
      </c>
      <c r="AZ117" s="53">
        <f t="shared" si="151"/>
        <v>291.93119999999999</v>
      </c>
      <c r="BC117" s="48"/>
      <c r="BJ117" s="55">
        <v>1</v>
      </c>
      <c r="BK117" s="97">
        <f t="shared" si="154"/>
        <v>291.93119999999999</v>
      </c>
      <c r="BQ117" s="57">
        <f t="shared" si="153"/>
        <v>1</v>
      </c>
      <c r="BR117" s="50">
        <f t="shared" si="137"/>
        <v>291.93119999999999</v>
      </c>
      <c r="BS117" s="39" t="str">
        <f t="shared" si="132"/>
        <v>OK</v>
      </c>
    </row>
    <row r="118" spans="1:71" outlineLevel="1" x14ac:dyDescent="0.25">
      <c r="A118" s="8" t="s">
        <v>24</v>
      </c>
      <c r="B118" s="8" t="s">
        <v>203</v>
      </c>
      <c r="C118" s="8" t="s">
        <v>313</v>
      </c>
      <c r="D118" s="9" t="s">
        <v>174</v>
      </c>
      <c r="E118" s="8" t="s">
        <v>156</v>
      </c>
      <c r="F118" s="59">
        <v>30</v>
      </c>
      <c r="G118" s="53">
        <v>7.79</v>
      </c>
      <c r="H118" s="53">
        <v>2.95</v>
      </c>
      <c r="I118" s="53">
        <f t="shared" si="138"/>
        <v>10.74</v>
      </c>
      <c r="J118" s="53">
        <f t="shared" si="139"/>
        <v>322.2</v>
      </c>
      <c r="K118" s="58">
        <v>0.27760000000000001</v>
      </c>
      <c r="L118" s="53">
        <f t="shared" si="155"/>
        <v>298.57</v>
      </c>
      <c r="M118" s="53">
        <f t="shared" si="155"/>
        <v>113.06</v>
      </c>
      <c r="N118" s="53">
        <f t="shared" si="141"/>
        <v>411.63</v>
      </c>
      <c r="Q118" s="48"/>
      <c r="Z118" s="55">
        <v>0.75</v>
      </c>
      <c r="AA118" s="56">
        <f t="shared" si="142"/>
        <v>308.72249999999997</v>
      </c>
      <c r="AB118" s="55">
        <v>0.25</v>
      </c>
      <c r="AC118" s="56">
        <f t="shared" si="143"/>
        <v>102.9075</v>
      </c>
      <c r="AE118" s="57">
        <f t="shared" si="144"/>
        <v>1</v>
      </c>
      <c r="AF118" s="50">
        <f t="shared" si="134"/>
        <v>411.63</v>
      </c>
      <c r="AG118" s="39" t="str">
        <f t="shared" si="135"/>
        <v>OK</v>
      </c>
      <c r="AJ118" s="8" t="s">
        <v>24</v>
      </c>
      <c r="AK118" s="8" t="s">
        <v>203</v>
      </c>
      <c r="AL118" s="8" t="s">
        <v>313</v>
      </c>
      <c r="AM118" s="9" t="s">
        <v>174</v>
      </c>
      <c r="AN118" s="8" t="s">
        <v>156</v>
      </c>
      <c r="AO118" s="85">
        <v>30</v>
      </c>
      <c r="AP118" s="59"/>
      <c r="AQ118" s="59">
        <f t="shared" si="145"/>
        <v>3.5432380284160669</v>
      </c>
      <c r="AR118" s="59">
        <f t="shared" si="146"/>
        <v>7.9898263462550414</v>
      </c>
      <c r="AS118" s="59">
        <f t="shared" si="147"/>
        <v>11.533064374671108</v>
      </c>
      <c r="AT118" s="88">
        <v>0.14019999999999999</v>
      </c>
      <c r="AU118" s="59">
        <v>4.04</v>
      </c>
      <c r="AV118" s="59">
        <v>9.11</v>
      </c>
      <c r="AW118" s="52">
        <f t="shared" si="148"/>
        <v>13.149999999999999</v>
      </c>
      <c r="AX118" s="53">
        <f t="shared" si="149"/>
        <v>121.2</v>
      </c>
      <c r="AY118" s="53">
        <f t="shared" si="150"/>
        <v>273.29999999999995</v>
      </c>
      <c r="AZ118" s="53">
        <f t="shared" si="151"/>
        <v>394.49999999999994</v>
      </c>
      <c r="BC118" s="48"/>
      <c r="BJ118" s="55">
        <v>1</v>
      </c>
      <c r="BK118" s="97">
        <f t="shared" si="154"/>
        <v>394.49999999999994</v>
      </c>
      <c r="BQ118" s="57">
        <f t="shared" si="153"/>
        <v>1</v>
      </c>
      <c r="BR118" s="50">
        <f t="shared" si="137"/>
        <v>394.49999999999994</v>
      </c>
      <c r="BS118" s="39" t="str">
        <f t="shared" si="132"/>
        <v>OK</v>
      </c>
    </row>
    <row r="119" spans="1:71" ht="45" outlineLevel="1" x14ac:dyDescent="0.25">
      <c r="A119" s="8" t="s">
        <v>24</v>
      </c>
      <c r="B119" s="8" t="s">
        <v>204</v>
      </c>
      <c r="C119" s="8" t="s">
        <v>314</v>
      </c>
      <c r="D119" s="9" t="s">
        <v>175</v>
      </c>
      <c r="E119" s="8" t="s">
        <v>156</v>
      </c>
      <c r="F119" s="59">
        <v>10.61</v>
      </c>
      <c r="G119" s="53">
        <v>4.7</v>
      </c>
      <c r="H119" s="53">
        <v>3.69</v>
      </c>
      <c r="I119" s="53">
        <f t="shared" si="138"/>
        <v>8.39</v>
      </c>
      <c r="J119" s="53">
        <f t="shared" si="139"/>
        <v>89.01</v>
      </c>
      <c r="K119" s="58">
        <v>0.27760000000000001</v>
      </c>
      <c r="L119" s="53">
        <f t="shared" si="155"/>
        <v>63.71</v>
      </c>
      <c r="M119" s="53">
        <f t="shared" si="155"/>
        <v>50.01</v>
      </c>
      <c r="N119" s="53">
        <f t="shared" si="141"/>
        <v>113.72</v>
      </c>
      <c r="Q119" s="48"/>
      <c r="Z119" s="55">
        <v>0.75</v>
      </c>
      <c r="AA119" s="56">
        <f t="shared" si="142"/>
        <v>85.289999999999992</v>
      </c>
      <c r="AB119" s="55">
        <v>0.25</v>
      </c>
      <c r="AC119" s="56">
        <f t="shared" si="143"/>
        <v>28.43</v>
      </c>
      <c r="AE119" s="57">
        <f t="shared" si="144"/>
        <v>1</v>
      </c>
      <c r="AF119" s="50">
        <f t="shared" si="134"/>
        <v>113.72</v>
      </c>
      <c r="AG119" s="39" t="str">
        <f t="shared" si="135"/>
        <v>OK</v>
      </c>
      <c r="AJ119" s="8" t="s">
        <v>24</v>
      </c>
      <c r="AK119" s="8" t="s">
        <v>204</v>
      </c>
      <c r="AL119" s="8" t="s">
        <v>314</v>
      </c>
      <c r="AM119" s="9" t="s">
        <v>175</v>
      </c>
      <c r="AN119" s="8" t="s">
        <v>156</v>
      </c>
      <c r="AO119" s="85">
        <v>10.61</v>
      </c>
      <c r="AP119" s="59"/>
      <c r="AQ119" s="59">
        <f t="shared" si="145"/>
        <v>4.4553587089984212</v>
      </c>
      <c r="AR119" s="59">
        <f t="shared" si="146"/>
        <v>4.8237151376951406</v>
      </c>
      <c r="AS119" s="59">
        <f t="shared" si="147"/>
        <v>9.2790738466935618</v>
      </c>
      <c r="AT119" s="88">
        <v>0.14019999999999999</v>
      </c>
      <c r="AU119" s="59">
        <v>5.08</v>
      </c>
      <c r="AV119" s="59">
        <v>5.5</v>
      </c>
      <c r="AW119" s="52">
        <f t="shared" si="148"/>
        <v>10.58</v>
      </c>
      <c r="AX119" s="53">
        <f t="shared" si="149"/>
        <v>53.898800000000001</v>
      </c>
      <c r="AY119" s="53">
        <f t="shared" si="150"/>
        <v>58.354999999999997</v>
      </c>
      <c r="AZ119" s="53">
        <f t="shared" si="151"/>
        <v>112.2538</v>
      </c>
      <c r="BC119" s="48"/>
      <c r="BJ119" s="55">
        <v>1</v>
      </c>
      <c r="BK119" s="97">
        <f t="shared" si="154"/>
        <v>112.2538</v>
      </c>
      <c r="BQ119" s="57">
        <f t="shared" si="153"/>
        <v>1</v>
      </c>
      <c r="BR119" s="50">
        <f t="shared" si="137"/>
        <v>112.2538</v>
      </c>
      <c r="BS119" s="39" t="str">
        <f t="shared" si="132"/>
        <v>OK</v>
      </c>
    </row>
    <row r="120" spans="1:71" ht="30" outlineLevel="1" x14ac:dyDescent="0.25">
      <c r="A120" s="8" t="s">
        <v>24</v>
      </c>
      <c r="B120" s="8" t="s">
        <v>205</v>
      </c>
      <c r="C120" s="8" t="s">
        <v>315</v>
      </c>
      <c r="D120" s="9" t="s">
        <v>176</v>
      </c>
      <c r="E120" s="8" t="s">
        <v>177</v>
      </c>
      <c r="F120" s="59">
        <v>8.5</v>
      </c>
      <c r="G120" s="53">
        <v>108.07</v>
      </c>
      <c r="H120" s="53">
        <v>40.86</v>
      </c>
      <c r="I120" s="53">
        <f t="shared" si="138"/>
        <v>148.93</v>
      </c>
      <c r="J120" s="53">
        <f t="shared" si="139"/>
        <v>1265.9000000000001</v>
      </c>
      <c r="K120" s="58">
        <v>0.27760000000000001</v>
      </c>
      <c r="L120" s="53">
        <f t="shared" si="155"/>
        <v>1173.5899999999999</v>
      </c>
      <c r="M120" s="53">
        <f t="shared" si="155"/>
        <v>443.72</v>
      </c>
      <c r="N120" s="53">
        <f t="shared" si="141"/>
        <v>1617.31</v>
      </c>
      <c r="Q120" s="48"/>
      <c r="Z120" s="55">
        <v>0.75</v>
      </c>
      <c r="AA120" s="56">
        <f t="shared" si="142"/>
        <v>1212.9825000000001</v>
      </c>
      <c r="AB120" s="55">
        <v>0.25</v>
      </c>
      <c r="AC120" s="56">
        <f t="shared" si="143"/>
        <v>404.32749999999999</v>
      </c>
      <c r="AE120" s="57">
        <f t="shared" si="144"/>
        <v>1</v>
      </c>
      <c r="AF120" s="50">
        <f t="shared" si="134"/>
        <v>1617.31</v>
      </c>
      <c r="AG120" s="39" t="str">
        <f t="shared" si="135"/>
        <v>OK</v>
      </c>
      <c r="AJ120" s="8" t="s">
        <v>24</v>
      </c>
      <c r="AK120" s="8" t="s">
        <v>205</v>
      </c>
      <c r="AL120" s="8" t="s">
        <v>315</v>
      </c>
      <c r="AM120" s="9" t="s">
        <v>176</v>
      </c>
      <c r="AN120" s="8" t="s">
        <v>177</v>
      </c>
      <c r="AO120" s="85">
        <v>8.5</v>
      </c>
      <c r="AP120" s="59"/>
      <c r="AQ120" s="59">
        <f t="shared" si="145"/>
        <v>49.500087703911589</v>
      </c>
      <c r="AR120" s="59">
        <f t="shared" si="146"/>
        <v>108.18277495176284</v>
      </c>
      <c r="AS120" s="59">
        <f t="shared" si="147"/>
        <v>157.68286265567443</v>
      </c>
      <c r="AT120" s="88">
        <v>0.14019999999999999</v>
      </c>
      <c r="AU120" s="59">
        <v>56.44</v>
      </c>
      <c r="AV120" s="59">
        <v>123.35</v>
      </c>
      <c r="AW120" s="52">
        <f t="shared" si="148"/>
        <v>179.79</v>
      </c>
      <c r="AX120" s="53">
        <f t="shared" si="149"/>
        <v>479.74</v>
      </c>
      <c r="AY120" s="53">
        <f>$AO120*AV120-0.01</f>
        <v>1048.4649999999999</v>
      </c>
      <c r="AZ120" s="89">
        <f t="shared" ref="AZ120" si="159">AX120+AY120</f>
        <v>1528.2049999999999</v>
      </c>
      <c r="BC120" s="48"/>
      <c r="BJ120" s="55">
        <v>1</v>
      </c>
      <c r="BK120" s="97">
        <f t="shared" si="154"/>
        <v>1528.2049999999999</v>
      </c>
      <c r="BQ120" s="57">
        <f t="shared" si="153"/>
        <v>1</v>
      </c>
      <c r="BR120" s="50">
        <f t="shared" si="137"/>
        <v>1528.2049999999999</v>
      </c>
      <c r="BS120" s="39" t="str">
        <f t="shared" si="132"/>
        <v>OK</v>
      </c>
    </row>
    <row r="121" spans="1:71" x14ac:dyDescent="0.25">
      <c r="D121" s="65"/>
      <c r="AM121" s="65"/>
    </row>
    <row r="122" spans="1:71" x14ac:dyDescent="0.25">
      <c r="A122" s="4" t="s">
        <v>335</v>
      </c>
      <c r="B122" s="5"/>
      <c r="C122" s="5"/>
      <c r="D122" s="18"/>
      <c r="E122" s="5"/>
      <c r="F122" s="6"/>
      <c r="G122" s="6"/>
      <c r="H122" s="6"/>
      <c r="I122" s="7"/>
      <c r="J122" s="7"/>
      <c r="K122" s="7"/>
      <c r="L122" s="7"/>
      <c r="M122" s="7"/>
      <c r="N122" s="7">
        <f>SUM(N123)</f>
        <v>64650.96</v>
      </c>
      <c r="P122" s="48" t="e">
        <f>N122/$N$170</f>
        <v>#REF!</v>
      </c>
      <c r="Q122" s="48"/>
      <c r="T122" s="49" t="e">
        <f>U122/$N$170</f>
        <v>#REF!</v>
      </c>
      <c r="U122" s="47">
        <f>SUM(U123)</f>
        <v>0</v>
      </c>
      <c r="V122" s="49" t="e">
        <f>W122/$N$170</f>
        <v>#REF!</v>
      </c>
      <c r="W122" s="47">
        <f>SUM(W123)</f>
        <v>0</v>
      </c>
      <c r="X122" s="49" t="e">
        <f>Y122/$N$170</f>
        <v>#REF!</v>
      </c>
      <c r="Y122" s="47">
        <f>SUM(Y123)</f>
        <v>0</v>
      </c>
      <c r="Z122" s="49" t="e">
        <f>AA122/$N$170</f>
        <v>#REF!</v>
      </c>
      <c r="AA122" s="47">
        <f>SUM(AA123)</f>
        <v>64650.96</v>
      </c>
      <c r="AB122" s="49" t="e">
        <f>AC122/$N$170</f>
        <v>#REF!</v>
      </c>
      <c r="AC122" s="47">
        <f>SUM(AC123)</f>
        <v>0</v>
      </c>
      <c r="AE122" s="43"/>
      <c r="AF122" s="50">
        <f t="shared" ref="AF122" si="160">SUM(U122,Y122,AA122,AC122)</f>
        <v>64650.96</v>
      </c>
      <c r="AG122" s="39" t="str">
        <f t="shared" ref="AG122" si="161">IF(AF122=N122,"OK","VERIFICAR")</f>
        <v>OK</v>
      </c>
      <c r="AJ122" s="4" t="s">
        <v>335</v>
      </c>
      <c r="AK122" s="5"/>
      <c r="AL122" s="5"/>
      <c r="AM122" s="18"/>
      <c r="AN122" s="5"/>
      <c r="AO122" s="6"/>
      <c r="AP122" s="90"/>
      <c r="AQ122" s="90"/>
      <c r="AR122" s="90"/>
      <c r="AS122" s="90"/>
      <c r="AT122" s="7"/>
      <c r="AU122" s="90"/>
      <c r="AV122" s="90"/>
      <c r="AW122" s="90"/>
      <c r="AX122" s="47">
        <f t="shared" ref="AX122:AY122" si="162">SUM(AX123:AX124)</f>
        <v>0</v>
      </c>
      <c r="AY122" s="47">
        <f t="shared" si="162"/>
        <v>59335.199999999997</v>
      </c>
      <c r="AZ122" s="47">
        <f>SUM(AZ123:AZ124)</f>
        <v>59335.199999999997</v>
      </c>
      <c r="BB122" s="48" t="e">
        <f>#REF!/$N$170</f>
        <v>#REF!</v>
      </c>
      <c r="BC122" s="48">
        <f>AZ122/$AZ$170</f>
        <v>0.19533663325722372</v>
      </c>
      <c r="BF122" s="49" t="e">
        <f>BG122/$N$170</f>
        <v>#REF!</v>
      </c>
      <c r="BG122" s="47">
        <f>SUM(BG123)</f>
        <v>0</v>
      </c>
      <c r="BH122" s="49" t="e">
        <f>BI122/$N$170</f>
        <v>#REF!</v>
      </c>
      <c r="BI122" s="47">
        <f>SUM(BI123)</f>
        <v>0</v>
      </c>
      <c r="BJ122" s="49" t="e">
        <f>BK122/$N$170</f>
        <v>#REF!</v>
      </c>
      <c r="BK122" s="47">
        <f>SUM(BK123)</f>
        <v>29667.599999999999</v>
      </c>
      <c r="BL122" s="49" t="e">
        <f>BM122/$N$170</f>
        <v>#REF!</v>
      </c>
      <c r="BM122" s="47">
        <f>SUM(BM123)</f>
        <v>29667.599999999999</v>
      </c>
      <c r="BN122" s="49" t="e">
        <f>BO122/$N$170</f>
        <v>#REF!</v>
      </c>
      <c r="BO122" s="47">
        <f>SUM(BO123)</f>
        <v>0</v>
      </c>
      <c r="BQ122" s="43"/>
      <c r="BR122" s="50">
        <f t="shared" ref="BR122" si="163">SUM(BG122,BK122,BM122,BO122)</f>
        <v>59335.199999999997</v>
      </c>
      <c r="BS122" s="39" t="str">
        <f t="shared" si="132"/>
        <v>OK</v>
      </c>
    </row>
    <row r="123" spans="1:71" ht="57.75" outlineLevel="1" x14ac:dyDescent="0.25">
      <c r="A123" s="8" t="s">
        <v>6</v>
      </c>
      <c r="B123" s="8" t="s">
        <v>206</v>
      </c>
      <c r="C123" s="8" t="s">
        <v>8</v>
      </c>
      <c r="D123" s="9" t="s">
        <v>409</v>
      </c>
      <c r="E123" s="59" t="s">
        <v>207</v>
      </c>
      <c r="F123" s="59">
        <v>1</v>
      </c>
      <c r="G123" s="53">
        <f>AVERAGE(59400,52890)</f>
        <v>56145</v>
      </c>
      <c r="H123" s="53">
        <v>0</v>
      </c>
      <c r="I123" s="53">
        <f t="shared" ref="I123" si="164">G123+H123</f>
        <v>56145</v>
      </c>
      <c r="J123" s="53">
        <f t="shared" ref="J123" si="165">TRUNC(I123*F123,2)</f>
        <v>56145</v>
      </c>
      <c r="K123" s="54">
        <v>0.1515</v>
      </c>
      <c r="L123" s="53">
        <f t="shared" ref="L123:M123" si="166">TRUNC($F123*G123*(1+$K123),2)</f>
        <v>64650.96</v>
      </c>
      <c r="M123" s="53">
        <f t="shared" si="166"/>
        <v>0</v>
      </c>
      <c r="N123" s="53">
        <f t="shared" ref="N123" si="167">M123+L123</f>
        <v>64650.96</v>
      </c>
      <c r="P123" s="48"/>
      <c r="Q123" s="48" t="e">
        <f>N123/$N$170</f>
        <v>#REF!</v>
      </c>
      <c r="Z123" s="55">
        <v>1</v>
      </c>
      <c r="AA123" s="56">
        <f>Z123*$N123</f>
        <v>64650.96</v>
      </c>
      <c r="AE123" s="57">
        <f t="shared" ref="AE123" si="168">SUM(T123,X123,Z123,AB123)</f>
        <v>1</v>
      </c>
      <c r="AF123" s="50">
        <f>SUM(U123,Y123,AA123,AC123)</f>
        <v>64650.96</v>
      </c>
      <c r="AG123" s="39" t="str">
        <f>IF(AF123=N123,"OK","VERIFICAR")</f>
        <v>OK</v>
      </c>
      <c r="AJ123" s="8" t="s">
        <v>6</v>
      </c>
      <c r="AK123" s="8" t="s">
        <v>206</v>
      </c>
      <c r="AL123" s="8" t="s">
        <v>8</v>
      </c>
      <c r="AM123" s="9" t="s">
        <v>409</v>
      </c>
      <c r="AN123" s="59" t="s">
        <v>207</v>
      </c>
      <c r="AO123" s="85">
        <v>1</v>
      </c>
      <c r="AP123" s="59"/>
      <c r="AQ123" s="59">
        <f t="shared" ref="AQ123" si="169">AU123/(1+$AT123)</f>
        <v>0</v>
      </c>
      <c r="AR123" s="59">
        <f t="shared" ref="AR123" si="170">AV123/(1+$AT123)</f>
        <v>54000</v>
      </c>
      <c r="AS123" s="59">
        <f>AW123/(1+$AT123)</f>
        <v>54000</v>
      </c>
      <c r="AT123" s="19">
        <v>9.8799999999999999E-2</v>
      </c>
      <c r="AU123" s="59">
        <v>0</v>
      </c>
      <c r="AV123" s="59">
        <v>59335.199999999997</v>
      </c>
      <c r="AW123" s="52">
        <f>AU123+AV123</f>
        <v>59335.199999999997</v>
      </c>
      <c r="AX123" s="53">
        <f>$AO123*AU123</f>
        <v>0</v>
      </c>
      <c r="AY123" s="53">
        <f t="shared" ref="AY123" si="171">$AO123*AV123</f>
        <v>59335.199999999997</v>
      </c>
      <c r="AZ123" s="53">
        <f t="shared" ref="AZ123" si="172">$AO123*AW123</f>
        <v>59335.199999999997</v>
      </c>
      <c r="BB123" s="48"/>
      <c r="BC123" s="48"/>
      <c r="BJ123" s="55">
        <v>0.5</v>
      </c>
      <c r="BK123" s="97">
        <f>BJ123*$AZ123</f>
        <v>29667.599999999999</v>
      </c>
      <c r="BL123" s="55">
        <v>0.5</v>
      </c>
      <c r="BM123" s="97">
        <f>BL123*$AZ123</f>
        <v>29667.599999999999</v>
      </c>
      <c r="BQ123" s="57">
        <f t="shared" ref="BQ123" si="173">SUM(BF123,BJ123,BL123,BN123)</f>
        <v>1</v>
      </c>
      <c r="BR123" s="50">
        <f>SUM(BG123,BK123,BM123,BO123)</f>
        <v>59335.199999999997</v>
      </c>
      <c r="BS123" s="39" t="str">
        <f t="shared" si="132"/>
        <v>OK</v>
      </c>
    </row>
    <row r="124" spans="1:71" x14ac:dyDescent="0.25">
      <c r="D124" s="65"/>
      <c r="AM124" s="65"/>
    </row>
    <row r="125" spans="1:71" x14ac:dyDescent="0.25">
      <c r="A125" s="4" t="s">
        <v>334</v>
      </c>
      <c r="B125" s="5"/>
      <c r="C125" s="5"/>
      <c r="D125" s="18"/>
      <c r="E125" s="5"/>
      <c r="F125" s="6"/>
      <c r="G125" s="6"/>
      <c r="H125" s="6"/>
      <c r="I125" s="7"/>
      <c r="J125" s="7"/>
      <c r="K125" s="7"/>
      <c r="L125" s="7"/>
      <c r="M125" s="7"/>
      <c r="N125" s="7" t="e">
        <f>SUM(N126:N156)</f>
        <v>#REF!</v>
      </c>
      <c r="P125" s="48" t="e">
        <f>N125/$N$170</f>
        <v>#REF!</v>
      </c>
      <c r="Q125" s="48" t="e">
        <f>N125/$N$170</f>
        <v>#REF!</v>
      </c>
      <c r="T125" s="49" t="e">
        <f>U125/$N$170</f>
        <v>#REF!</v>
      </c>
      <c r="U125" s="47">
        <f>SUM(U126:U156)</f>
        <v>0</v>
      </c>
      <c r="V125" s="49" t="e">
        <f>W125/$N$170</f>
        <v>#REF!</v>
      </c>
      <c r="W125" s="47">
        <f>SUM(W126:W156)</f>
        <v>0</v>
      </c>
      <c r="X125" s="49" t="e">
        <f>Y125/$N$170</f>
        <v>#REF!</v>
      </c>
      <c r="Y125" s="47" t="e">
        <f>SUM(Y126:Y156)</f>
        <v>#REF!</v>
      </c>
      <c r="Z125" s="49" t="e">
        <f>AA125/$N$170</f>
        <v>#REF!</v>
      </c>
      <c r="AA125" s="47" t="e">
        <f>SUM(AA126:AA156)</f>
        <v>#REF!</v>
      </c>
      <c r="AB125" s="49" t="e">
        <f>AC125/$N$170</f>
        <v>#REF!</v>
      </c>
      <c r="AC125" s="47" t="e">
        <f>SUM(AC126:AC156)</f>
        <v>#REF!</v>
      </c>
      <c r="AE125" s="43"/>
      <c r="AF125" s="50" t="e">
        <f t="shared" ref="AF125:AF156" si="174">SUM(U125,Y125,AA125,AC125)</f>
        <v>#REF!</v>
      </c>
      <c r="AG125" s="39" t="e">
        <f t="shared" ref="AG125:AG156" si="175">IF(AF125=N125,"OK","VERIFICAR")</f>
        <v>#REF!</v>
      </c>
      <c r="AJ125" s="4" t="s">
        <v>334</v>
      </c>
      <c r="AK125" s="5"/>
      <c r="AL125" s="5"/>
      <c r="AM125" s="18"/>
      <c r="AN125" s="5"/>
      <c r="AO125" s="6"/>
      <c r="AP125" s="90"/>
      <c r="AQ125" s="90"/>
      <c r="AR125" s="90"/>
      <c r="AS125" s="90"/>
      <c r="AT125" s="7"/>
      <c r="AU125" s="90"/>
      <c r="AV125" s="90"/>
      <c r="AW125" s="90"/>
      <c r="AX125" s="47">
        <f t="shared" ref="AX125:AY125" si="176">SUM(AX126:AX156)</f>
        <v>3571.8737999999998</v>
      </c>
      <c r="AY125" s="47">
        <f t="shared" si="176"/>
        <v>10362.5851</v>
      </c>
      <c r="AZ125" s="47">
        <f>SUM(AZ126:AZ156)</f>
        <v>13934.458900000001</v>
      </c>
      <c r="BB125" s="48" t="e">
        <f>#REF!/$N$170</f>
        <v>#REF!</v>
      </c>
      <c r="BC125" s="48">
        <f>AZ125/$AZ$170</f>
        <v>4.5873449281154485E-2</v>
      </c>
      <c r="BF125" s="49" t="e">
        <f>BG125/$N$170</f>
        <v>#REF!</v>
      </c>
      <c r="BG125" s="47">
        <f>SUM(BG126:BG156)</f>
        <v>0</v>
      </c>
      <c r="BH125" s="49" t="e">
        <f>BI125/$N$170</f>
        <v>#REF!</v>
      </c>
      <c r="BI125" s="47">
        <f>SUM(BI126:BI156)</f>
        <v>0</v>
      </c>
      <c r="BJ125" s="49" t="e">
        <f>BK125/$N$170</f>
        <v>#REF!</v>
      </c>
      <c r="BK125" s="47">
        <f>SUM(BK126:BK156)</f>
        <v>3230.9330999999997</v>
      </c>
      <c r="BL125" s="49" t="e">
        <f>BM125/$N$170</f>
        <v>#REF!</v>
      </c>
      <c r="BM125" s="47">
        <f>SUM(BM126:BM156)</f>
        <v>1250.7881</v>
      </c>
      <c r="BN125" s="49" t="e">
        <f>BO125/$N$170</f>
        <v>#REF!</v>
      </c>
      <c r="BO125" s="47">
        <f>SUM(BO126:BO156)</f>
        <v>9452.7376999999997</v>
      </c>
      <c r="BQ125" s="43"/>
      <c r="BR125" s="50">
        <f t="shared" ref="BR125:BR156" si="177">SUM(BG125,BK125,BM125,BO125)</f>
        <v>13934.4589</v>
      </c>
      <c r="BS125" s="39" t="str">
        <f t="shared" si="132"/>
        <v>OK</v>
      </c>
    </row>
    <row r="126" spans="1:71" ht="30" outlineLevel="1" x14ac:dyDescent="0.25">
      <c r="A126" s="8" t="s">
        <v>24</v>
      </c>
      <c r="B126" s="8" t="s">
        <v>336</v>
      </c>
      <c r="C126" s="8" t="s">
        <v>316</v>
      </c>
      <c r="D126" s="9" t="s">
        <v>208</v>
      </c>
      <c r="E126" s="59" t="s">
        <v>151</v>
      </c>
      <c r="F126" s="59">
        <v>0.72</v>
      </c>
      <c r="G126" s="53">
        <v>11.27</v>
      </c>
      <c r="H126" s="53">
        <v>24.2</v>
      </c>
      <c r="I126" s="53">
        <f t="shared" ref="I126:I156" si="178">G126+H126</f>
        <v>35.47</v>
      </c>
      <c r="J126" s="53">
        <f t="shared" ref="J126:J156" si="179">TRUNC(I126*F126,2)</f>
        <v>25.53</v>
      </c>
      <c r="K126" s="58">
        <v>0.27760000000000001</v>
      </c>
      <c r="L126" s="53">
        <f t="shared" ref="L126:M141" si="180">TRUNC($F126*G126*(1+$K126),2)</f>
        <v>10.36</v>
      </c>
      <c r="M126" s="53">
        <f t="shared" si="180"/>
        <v>22.26</v>
      </c>
      <c r="N126" s="53">
        <f t="shared" ref="N126:N156" si="181">M126+L126</f>
        <v>32.620000000000005</v>
      </c>
      <c r="Z126" s="55">
        <v>1</v>
      </c>
      <c r="AA126" s="56">
        <f>Z126*$N126</f>
        <v>32.620000000000005</v>
      </c>
      <c r="AE126" s="57">
        <f t="shared" ref="AE126:AE156" si="182">SUM(T126,X126,Z126,AB126)</f>
        <v>1</v>
      </c>
      <c r="AF126" s="50">
        <f t="shared" si="174"/>
        <v>32.620000000000005</v>
      </c>
      <c r="AG126" s="39" t="str">
        <f t="shared" si="175"/>
        <v>OK</v>
      </c>
      <c r="AJ126" s="8" t="s">
        <v>24</v>
      </c>
      <c r="AK126" s="8" t="s">
        <v>336</v>
      </c>
      <c r="AL126" s="8" t="s">
        <v>316</v>
      </c>
      <c r="AM126" s="9" t="s">
        <v>208</v>
      </c>
      <c r="AN126" s="59" t="s">
        <v>151</v>
      </c>
      <c r="AO126" s="85">
        <v>0.72</v>
      </c>
      <c r="AP126" s="59"/>
      <c r="AQ126" s="59">
        <f t="shared" ref="AQ126:AQ156" si="183">AU126/(1+$AT126)</f>
        <v>29.266795299070335</v>
      </c>
      <c r="AR126" s="59">
        <f t="shared" ref="AR126:AR156" si="184">AV126/(1+$AT126)</f>
        <v>12.041747061918961</v>
      </c>
      <c r="AS126" s="59">
        <f t="shared" ref="AS126:AS156" si="185">AW126/(1+$AT126)</f>
        <v>41.308542360989293</v>
      </c>
      <c r="AT126" s="88">
        <v>0.14019999999999999</v>
      </c>
      <c r="AU126" s="59">
        <v>33.369999999999997</v>
      </c>
      <c r="AV126" s="59">
        <v>13.73</v>
      </c>
      <c r="AW126" s="52">
        <f t="shared" ref="AW126:AW156" si="186">AU126+AV126</f>
        <v>47.099999999999994</v>
      </c>
      <c r="AX126" s="53">
        <f t="shared" ref="AX126:AX156" si="187">$AO126*AU126</f>
        <v>24.026399999999999</v>
      </c>
      <c r="AY126" s="53">
        <f t="shared" ref="AY126:AY156" si="188">$AO126*AV126</f>
        <v>9.8856000000000002</v>
      </c>
      <c r="AZ126" s="53">
        <f t="shared" ref="AZ126:AZ156" si="189">$AO126*AW126</f>
        <v>33.911999999999992</v>
      </c>
      <c r="BJ126" s="55">
        <v>1</v>
      </c>
      <c r="BK126" s="97">
        <f t="shared" ref="BK126" si="190">BJ126*$AZ126</f>
        <v>33.911999999999992</v>
      </c>
      <c r="BQ126" s="57">
        <f t="shared" ref="BQ126:BQ156" si="191">SUM(BF126,BJ126,BL126,BN126)</f>
        <v>1</v>
      </c>
      <c r="BR126" s="50">
        <f t="shared" si="177"/>
        <v>33.911999999999992</v>
      </c>
      <c r="BS126" s="39" t="str">
        <f t="shared" si="132"/>
        <v>OK</v>
      </c>
    </row>
    <row r="127" spans="1:71" outlineLevel="1" x14ac:dyDescent="0.25">
      <c r="A127" s="8" t="s">
        <v>24</v>
      </c>
      <c r="B127" s="8" t="s">
        <v>337</v>
      </c>
      <c r="C127" s="8" t="s">
        <v>317</v>
      </c>
      <c r="D127" s="9" t="s">
        <v>209</v>
      </c>
      <c r="E127" s="59" t="s">
        <v>156</v>
      </c>
      <c r="F127" s="59">
        <f>2.5*15</f>
        <v>37.5</v>
      </c>
      <c r="G127" s="53">
        <f>48.71+0.01</f>
        <v>48.72</v>
      </c>
      <c r="H127" s="53">
        <v>9.31</v>
      </c>
      <c r="I127" s="53">
        <f t="shared" si="178"/>
        <v>58.03</v>
      </c>
      <c r="J127" s="53">
        <f t="shared" si="179"/>
        <v>2176.12</v>
      </c>
      <c r="K127" s="58">
        <v>0.27760000000000001</v>
      </c>
      <c r="L127" s="53">
        <f t="shared" si="180"/>
        <v>2334.17</v>
      </c>
      <c r="M127" s="53">
        <f t="shared" si="180"/>
        <v>446.04</v>
      </c>
      <c r="N127" s="53">
        <f t="shared" si="181"/>
        <v>2780.21</v>
      </c>
      <c r="Z127" s="55">
        <v>1</v>
      </c>
      <c r="AA127" s="56">
        <f>Z127*$N127</f>
        <v>2780.21</v>
      </c>
      <c r="AE127" s="57">
        <f t="shared" si="182"/>
        <v>1</v>
      </c>
      <c r="AF127" s="50">
        <f t="shared" si="174"/>
        <v>2780.21</v>
      </c>
      <c r="AG127" s="39" t="str">
        <f t="shared" si="175"/>
        <v>OK</v>
      </c>
      <c r="AJ127" s="8" t="s">
        <v>24</v>
      </c>
      <c r="AK127" s="8" t="s">
        <v>337</v>
      </c>
      <c r="AL127" s="8" t="s">
        <v>317</v>
      </c>
      <c r="AM127" s="9" t="s">
        <v>209</v>
      </c>
      <c r="AN127" s="59" t="s">
        <v>156</v>
      </c>
      <c r="AO127" s="85">
        <f>2.5*15</f>
        <v>37.5</v>
      </c>
      <c r="AP127" s="59"/>
      <c r="AQ127" s="59">
        <f t="shared" si="183"/>
        <v>11.16470794597439</v>
      </c>
      <c r="AR127" s="59">
        <f t="shared" si="184"/>
        <v>51.034906156814586</v>
      </c>
      <c r="AS127" s="59">
        <f t="shared" si="185"/>
        <v>62.199614102788978</v>
      </c>
      <c r="AT127" s="88">
        <v>0.14019999999999999</v>
      </c>
      <c r="AU127" s="59">
        <v>12.73</v>
      </c>
      <c r="AV127" s="59">
        <v>58.19</v>
      </c>
      <c r="AW127" s="52">
        <f t="shared" si="186"/>
        <v>70.92</v>
      </c>
      <c r="AX127" s="53">
        <f t="shared" si="187"/>
        <v>477.375</v>
      </c>
      <c r="AY127" s="53">
        <f t="shared" si="188"/>
        <v>2182.125</v>
      </c>
      <c r="AZ127" s="53">
        <f t="shared" si="189"/>
        <v>2659.5</v>
      </c>
      <c r="BJ127" s="55">
        <v>1</v>
      </c>
      <c r="BK127" s="97">
        <f t="shared" ref="BK127" si="192">BJ127*$AZ127</f>
        <v>2659.5</v>
      </c>
      <c r="BQ127" s="57">
        <f t="shared" si="191"/>
        <v>1</v>
      </c>
      <c r="BR127" s="50">
        <f t="shared" si="177"/>
        <v>2659.5</v>
      </c>
      <c r="BS127" s="39" t="str">
        <f t="shared" si="132"/>
        <v>OK</v>
      </c>
    </row>
    <row r="128" spans="1:71" ht="30" outlineLevel="1" x14ac:dyDescent="0.25">
      <c r="A128" s="8" t="s">
        <v>24</v>
      </c>
      <c r="B128" s="8" t="s">
        <v>338</v>
      </c>
      <c r="C128" s="8" t="s">
        <v>318</v>
      </c>
      <c r="D128" s="9" t="s">
        <v>210</v>
      </c>
      <c r="E128" s="59" t="s">
        <v>211</v>
      </c>
      <c r="F128" s="59">
        <v>12</v>
      </c>
      <c r="G128" s="53">
        <v>4.5199999999999996</v>
      </c>
      <c r="H128" s="53">
        <v>9.15</v>
      </c>
      <c r="I128" s="53">
        <f t="shared" si="178"/>
        <v>13.67</v>
      </c>
      <c r="J128" s="53">
        <f t="shared" si="179"/>
        <v>164.04</v>
      </c>
      <c r="K128" s="58">
        <v>0.27760000000000001</v>
      </c>
      <c r="L128" s="53">
        <f t="shared" si="180"/>
        <v>69.290000000000006</v>
      </c>
      <c r="M128" s="53">
        <f t="shared" si="180"/>
        <v>140.28</v>
      </c>
      <c r="N128" s="53">
        <f t="shared" si="181"/>
        <v>209.57</v>
      </c>
      <c r="Z128" s="55">
        <v>1</v>
      </c>
      <c r="AA128" s="56">
        <f t="shared" ref="AA128:AA138" si="193">Z128*$N128</f>
        <v>209.57</v>
      </c>
      <c r="AE128" s="57">
        <f t="shared" si="182"/>
        <v>1</v>
      </c>
      <c r="AF128" s="50">
        <f t="shared" si="174"/>
        <v>209.57</v>
      </c>
      <c r="AG128" s="39" t="str">
        <f t="shared" si="175"/>
        <v>OK</v>
      </c>
      <c r="AJ128" s="8" t="s">
        <v>24</v>
      </c>
      <c r="AK128" s="8" t="s">
        <v>338</v>
      </c>
      <c r="AL128" s="8" t="s">
        <v>318</v>
      </c>
      <c r="AM128" s="9" t="s">
        <v>210</v>
      </c>
      <c r="AN128" s="59" t="s">
        <v>211</v>
      </c>
      <c r="AO128" s="85">
        <v>12</v>
      </c>
      <c r="AP128" s="59"/>
      <c r="AQ128" s="59">
        <f t="shared" si="183"/>
        <v>11.094544816698823</v>
      </c>
      <c r="AR128" s="59">
        <f t="shared" si="184"/>
        <v>4.771092790738467</v>
      </c>
      <c r="AS128" s="59">
        <f t="shared" si="185"/>
        <v>15.865637607437289</v>
      </c>
      <c r="AT128" s="88">
        <v>0.14019999999999999</v>
      </c>
      <c r="AU128" s="59">
        <v>12.65</v>
      </c>
      <c r="AV128" s="59">
        <v>5.44</v>
      </c>
      <c r="AW128" s="52">
        <f t="shared" si="186"/>
        <v>18.09</v>
      </c>
      <c r="AX128" s="53">
        <f t="shared" si="187"/>
        <v>151.80000000000001</v>
      </c>
      <c r="AY128" s="53">
        <f t="shared" si="188"/>
        <v>65.28</v>
      </c>
      <c r="AZ128" s="53">
        <f t="shared" si="189"/>
        <v>217.07999999999998</v>
      </c>
      <c r="BJ128" s="55">
        <v>0.5</v>
      </c>
      <c r="BK128" s="97">
        <f t="shared" ref="BK128" si="194">BJ128*$AZ128</f>
        <v>108.53999999999999</v>
      </c>
      <c r="BN128" s="55">
        <v>0.5</v>
      </c>
      <c r="BO128" s="97">
        <f t="shared" ref="BO128" si="195">BN128*$AZ128</f>
        <v>108.53999999999999</v>
      </c>
      <c r="BQ128" s="57">
        <f t="shared" si="191"/>
        <v>1</v>
      </c>
      <c r="BR128" s="50">
        <f t="shared" si="177"/>
        <v>217.07999999999998</v>
      </c>
      <c r="BS128" s="39" t="str">
        <f t="shared" si="132"/>
        <v>OK</v>
      </c>
    </row>
    <row r="129" spans="1:71" ht="30" outlineLevel="1" x14ac:dyDescent="0.25">
      <c r="A129" s="8" t="s">
        <v>24</v>
      </c>
      <c r="B129" s="8" t="s">
        <v>339</v>
      </c>
      <c r="C129" s="8" t="s">
        <v>319</v>
      </c>
      <c r="D129" s="9" t="s">
        <v>212</v>
      </c>
      <c r="E129" s="59" t="s">
        <v>211</v>
      </c>
      <c r="F129" s="59">
        <v>12</v>
      </c>
      <c r="G129" s="53">
        <v>4.5199999999999996</v>
      </c>
      <c r="H129" s="53">
        <v>12.24</v>
      </c>
      <c r="I129" s="53">
        <f t="shared" si="178"/>
        <v>16.759999999999998</v>
      </c>
      <c r="J129" s="53">
        <f t="shared" si="179"/>
        <v>201.12</v>
      </c>
      <c r="K129" s="58">
        <v>0.27760000000000001</v>
      </c>
      <c r="L129" s="53">
        <f t="shared" si="180"/>
        <v>69.290000000000006</v>
      </c>
      <c r="M129" s="53">
        <f t="shared" si="180"/>
        <v>187.65</v>
      </c>
      <c r="N129" s="53">
        <f t="shared" si="181"/>
        <v>256.94</v>
      </c>
      <c r="Z129" s="55">
        <v>1</v>
      </c>
      <c r="AA129" s="56">
        <f t="shared" si="193"/>
        <v>256.94</v>
      </c>
      <c r="AE129" s="57">
        <f t="shared" si="182"/>
        <v>1</v>
      </c>
      <c r="AF129" s="50">
        <f t="shared" si="174"/>
        <v>256.94</v>
      </c>
      <c r="AG129" s="39" t="str">
        <f t="shared" si="175"/>
        <v>OK</v>
      </c>
      <c r="AJ129" s="8" t="s">
        <v>24</v>
      </c>
      <c r="AK129" s="8" t="s">
        <v>339</v>
      </c>
      <c r="AL129" s="8" t="s">
        <v>319</v>
      </c>
      <c r="AM129" s="9" t="s">
        <v>212</v>
      </c>
      <c r="AN129" s="59" t="s">
        <v>211</v>
      </c>
      <c r="AO129" s="85">
        <v>12</v>
      </c>
      <c r="AP129" s="59"/>
      <c r="AQ129" s="59">
        <f t="shared" si="183"/>
        <v>14.830731450622697</v>
      </c>
      <c r="AR129" s="59">
        <f t="shared" si="184"/>
        <v>4.771092790738467</v>
      </c>
      <c r="AS129" s="59">
        <f t="shared" si="185"/>
        <v>19.601824241361165</v>
      </c>
      <c r="AT129" s="88">
        <v>0.14019999999999999</v>
      </c>
      <c r="AU129" s="59">
        <v>16.91</v>
      </c>
      <c r="AV129" s="59">
        <v>5.44</v>
      </c>
      <c r="AW129" s="52">
        <f t="shared" si="186"/>
        <v>22.35</v>
      </c>
      <c r="AX129" s="53">
        <f t="shared" si="187"/>
        <v>202.92000000000002</v>
      </c>
      <c r="AY129" s="53">
        <f t="shared" si="188"/>
        <v>65.28</v>
      </c>
      <c r="AZ129" s="53">
        <f t="shared" si="189"/>
        <v>268.20000000000005</v>
      </c>
      <c r="BJ129" s="55">
        <v>0.5</v>
      </c>
      <c r="BK129" s="97">
        <f t="shared" ref="BK129:BK130" si="196">BJ129*$AZ129</f>
        <v>134.10000000000002</v>
      </c>
      <c r="BN129" s="55">
        <v>0.5</v>
      </c>
      <c r="BO129" s="97">
        <f t="shared" ref="BO129" si="197">BN129*$AZ129</f>
        <v>134.10000000000002</v>
      </c>
      <c r="BQ129" s="57">
        <f t="shared" si="191"/>
        <v>1</v>
      </c>
      <c r="BR129" s="50">
        <f t="shared" si="177"/>
        <v>268.20000000000005</v>
      </c>
      <c r="BS129" s="39" t="str">
        <f t="shared" si="132"/>
        <v>OK</v>
      </c>
    </row>
    <row r="130" spans="1:71" ht="30" outlineLevel="1" x14ac:dyDescent="0.25">
      <c r="A130" s="8" t="s">
        <v>24</v>
      </c>
      <c r="B130" s="8" t="s">
        <v>340</v>
      </c>
      <c r="C130" s="8" t="s">
        <v>320</v>
      </c>
      <c r="D130" s="9" t="s">
        <v>213</v>
      </c>
      <c r="E130" s="59" t="s">
        <v>156</v>
      </c>
      <c r="F130" s="59">
        <v>10</v>
      </c>
      <c r="G130" s="53">
        <v>2.74</v>
      </c>
      <c r="H130" s="53">
        <v>7.56</v>
      </c>
      <c r="I130" s="53">
        <f t="shared" si="178"/>
        <v>10.3</v>
      </c>
      <c r="J130" s="53">
        <f t="shared" si="179"/>
        <v>103</v>
      </c>
      <c r="K130" s="58">
        <v>0.27760000000000001</v>
      </c>
      <c r="L130" s="53">
        <f t="shared" si="180"/>
        <v>35</v>
      </c>
      <c r="M130" s="53">
        <f t="shared" si="180"/>
        <v>96.58</v>
      </c>
      <c r="N130" s="53">
        <f t="shared" si="181"/>
        <v>131.57999999999998</v>
      </c>
      <c r="Z130" s="55">
        <v>1</v>
      </c>
      <c r="AA130" s="56">
        <f t="shared" si="193"/>
        <v>131.57999999999998</v>
      </c>
      <c r="AE130" s="57">
        <f t="shared" si="182"/>
        <v>1</v>
      </c>
      <c r="AF130" s="50">
        <f t="shared" si="174"/>
        <v>131.57999999999998</v>
      </c>
      <c r="AG130" s="39" t="str">
        <f t="shared" si="175"/>
        <v>OK</v>
      </c>
      <c r="AJ130" s="8" t="s">
        <v>24</v>
      </c>
      <c r="AK130" s="8" t="s">
        <v>340</v>
      </c>
      <c r="AL130" s="8" t="s">
        <v>320</v>
      </c>
      <c r="AM130" s="9" t="s">
        <v>213</v>
      </c>
      <c r="AN130" s="59" t="s">
        <v>156</v>
      </c>
      <c r="AO130" s="85">
        <v>10</v>
      </c>
      <c r="AP130" s="59"/>
      <c r="AQ130" s="59">
        <f t="shared" si="183"/>
        <v>9.1212068058235385</v>
      </c>
      <c r="AR130" s="59">
        <f t="shared" si="184"/>
        <v>2.938081038414313</v>
      </c>
      <c r="AS130" s="59">
        <f t="shared" si="185"/>
        <v>12.059287844237852</v>
      </c>
      <c r="AT130" s="88">
        <v>0.14019999999999999</v>
      </c>
      <c r="AU130" s="59">
        <v>10.4</v>
      </c>
      <c r="AV130" s="59">
        <v>3.35</v>
      </c>
      <c r="AW130" s="52">
        <f t="shared" si="186"/>
        <v>13.75</v>
      </c>
      <c r="AX130" s="53">
        <f t="shared" si="187"/>
        <v>104</v>
      </c>
      <c r="AY130" s="53">
        <f t="shared" si="188"/>
        <v>33.5</v>
      </c>
      <c r="AZ130" s="53">
        <f t="shared" si="189"/>
        <v>137.5</v>
      </c>
      <c r="BJ130" s="55">
        <v>1</v>
      </c>
      <c r="BK130" s="97">
        <f t="shared" si="196"/>
        <v>137.5</v>
      </c>
      <c r="BQ130" s="57">
        <f t="shared" si="191"/>
        <v>1</v>
      </c>
      <c r="BR130" s="50">
        <f t="shared" si="177"/>
        <v>137.5</v>
      </c>
      <c r="BS130" s="39" t="str">
        <f t="shared" si="132"/>
        <v>OK</v>
      </c>
    </row>
    <row r="131" spans="1:71" ht="30" outlineLevel="1" x14ac:dyDescent="0.25">
      <c r="A131" s="8" t="s">
        <v>24</v>
      </c>
      <c r="B131" s="8" t="s">
        <v>341</v>
      </c>
      <c r="C131" s="8" t="s">
        <v>321</v>
      </c>
      <c r="D131" s="9" t="s">
        <v>214</v>
      </c>
      <c r="E131" s="59" t="s">
        <v>156</v>
      </c>
      <c r="F131" s="59">
        <v>37.5</v>
      </c>
      <c r="G131" s="53">
        <v>0.46</v>
      </c>
      <c r="H131" s="53">
        <v>1.44</v>
      </c>
      <c r="I131" s="53">
        <f t="shared" si="178"/>
        <v>1.9</v>
      </c>
      <c r="J131" s="53">
        <f t="shared" si="179"/>
        <v>71.25</v>
      </c>
      <c r="K131" s="58">
        <v>0.27760000000000001</v>
      </c>
      <c r="L131" s="53">
        <f t="shared" si="180"/>
        <v>22.03</v>
      </c>
      <c r="M131" s="53">
        <f t="shared" si="180"/>
        <v>68.989999999999995</v>
      </c>
      <c r="N131" s="53">
        <f t="shared" si="181"/>
        <v>91.02</v>
      </c>
      <c r="Z131" s="55">
        <v>1</v>
      </c>
      <c r="AA131" s="56">
        <f t="shared" si="193"/>
        <v>91.02</v>
      </c>
      <c r="AE131" s="57">
        <f t="shared" si="182"/>
        <v>1</v>
      </c>
      <c r="AF131" s="50">
        <f t="shared" si="174"/>
        <v>91.02</v>
      </c>
      <c r="AG131" s="39" t="str">
        <f t="shared" si="175"/>
        <v>OK</v>
      </c>
      <c r="AJ131" s="8" t="s">
        <v>24</v>
      </c>
      <c r="AK131" s="8" t="s">
        <v>341</v>
      </c>
      <c r="AL131" s="8" t="s">
        <v>321</v>
      </c>
      <c r="AM131" s="9" t="s">
        <v>214</v>
      </c>
      <c r="AN131" s="59" t="s">
        <v>156</v>
      </c>
      <c r="AO131" s="85">
        <v>37.5</v>
      </c>
      <c r="AP131" s="59"/>
      <c r="AQ131" s="59">
        <f t="shared" si="183"/>
        <v>1.5085072794246621</v>
      </c>
      <c r="AR131" s="59">
        <f t="shared" si="184"/>
        <v>0.53499386072618837</v>
      </c>
      <c r="AS131" s="59">
        <f t="shared" si="185"/>
        <v>2.0435011401508505</v>
      </c>
      <c r="AT131" s="88">
        <v>0.14019999999999999</v>
      </c>
      <c r="AU131" s="59">
        <v>1.72</v>
      </c>
      <c r="AV131" s="59">
        <v>0.61</v>
      </c>
      <c r="AW131" s="52">
        <f t="shared" si="186"/>
        <v>2.33</v>
      </c>
      <c r="AX131" s="53">
        <f t="shared" si="187"/>
        <v>64.5</v>
      </c>
      <c r="AY131" s="53">
        <f>$AO131*AV131-0.01</f>
        <v>22.864999999999998</v>
      </c>
      <c r="AZ131" s="89">
        <f t="shared" ref="AZ131" si="198">AX131+AY131</f>
        <v>87.364999999999995</v>
      </c>
      <c r="BN131" s="55">
        <v>1</v>
      </c>
      <c r="BO131" s="97">
        <f t="shared" ref="BO131:BO135" si="199">BN131*$AZ131</f>
        <v>87.364999999999995</v>
      </c>
      <c r="BQ131" s="57">
        <f t="shared" si="191"/>
        <v>1</v>
      </c>
      <c r="BR131" s="50">
        <f t="shared" si="177"/>
        <v>87.364999999999995</v>
      </c>
      <c r="BS131" s="39" t="str">
        <f t="shared" si="132"/>
        <v>OK</v>
      </c>
    </row>
    <row r="132" spans="1:71" ht="30" outlineLevel="1" x14ac:dyDescent="0.25">
      <c r="A132" s="8" t="s">
        <v>24</v>
      </c>
      <c r="B132" s="8" t="s">
        <v>342</v>
      </c>
      <c r="C132" s="8" t="s">
        <v>322</v>
      </c>
      <c r="D132" s="9" t="s">
        <v>238</v>
      </c>
      <c r="E132" s="59" t="s">
        <v>207</v>
      </c>
      <c r="F132" s="59">
        <v>1</v>
      </c>
      <c r="G132" s="53">
        <v>24.58</v>
      </c>
      <c r="H132" s="53">
        <v>57.72</v>
      </c>
      <c r="I132" s="53">
        <f t="shared" si="178"/>
        <v>82.3</v>
      </c>
      <c r="J132" s="53">
        <f t="shared" si="179"/>
        <v>82.3</v>
      </c>
      <c r="K132" s="58">
        <v>0.27760000000000001</v>
      </c>
      <c r="L132" s="53">
        <f t="shared" si="180"/>
        <v>31.4</v>
      </c>
      <c r="M132" s="53">
        <f t="shared" si="180"/>
        <v>73.739999999999995</v>
      </c>
      <c r="N132" s="53">
        <f t="shared" si="181"/>
        <v>105.13999999999999</v>
      </c>
      <c r="Z132" s="55">
        <v>1</v>
      </c>
      <c r="AA132" s="56">
        <f>Z132*$N132</f>
        <v>105.13999999999999</v>
      </c>
      <c r="AE132" s="57">
        <f t="shared" si="182"/>
        <v>1</v>
      </c>
      <c r="AF132" s="50">
        <f t="shared" si="174"/>
        <v>105.13999999999999</v>
      </c>
      <c r="AG132" s="39" t="str">
        <f t="shared" si="175"/>
        <v>OK</v>
      </c>
      <c r="AJ132" s="8" t="s">
        <v>24</v>
      </c>
      <c r="AK132" s="8" t="s">
        <v>342</v>
      </c>
      <c r="AL132" s="8" t="s">
        <v>322</v>
      </c>
      <c r="AM132" s="9" t="s">
        <v>238</v>
      </c>
      <c r="AN132" s="59" t="s">
        <v>207</v>
      </c>
      <c r="AO132" s="85">
        <v>1</v>
      </c>
      <c r="AP132" s="59"/>
      <c r="AQ132" s="59">
        <f t="shared" si="183"/>
        <v>69.935099105420093</v>
      </c>
      <c r="AR132" s="59">
        <f t="shared" si="184"/>
        <v>26.109454481669879</v>
      </c>
      <c r="AS132" s="59">
        <f t="shared" si="185"/>
        <v>96.044553587089965</v>
      </c>
      <c r="AT132" s="88">
        <v>0.14019999999999999</v>
      </c>
      <c r="AU132" s="59">
        <v>79.739999999999995</v>
      </c>
      <c r="AV132" s="59">
        <v>29.77</v>
      </c>
      <c r="AW132" s="52">
        <f t="shared" si="186"/>
        <v>109.50999999999999</v>
      </c>
      <c r="AX132" s="53">
        <f t="shared" si="187"/>
        <v>79.739999999999995</v>
      </c>
      <c r="AY132" s="53">
        <f t="shared" si="188"/>
        <v>29.77</v>
      </c>
      <c r="AZ132" s="53">
        <f t="shared" si="189"/>
        <v>109.50999999999999</v>
      </c>
      <c r="BN132" s="55">
        <v>1</v>
      </c>
      <c r="BO132" s="97">
        <f t="shared" si="199"/>
        <v>109.50999999999999</v>
      </c>
      <c r="BQ132" s="57">
        <f t="shared" si="191"/>
        <v>1</v>
      </c>
      <c r="BR132" s="50">
        <f t="shared" si="177"/>
        <v>109.50999999999999</v>
      </c>
      <c r="BS132" s="39" t="str">
        <f t="shared" si="132"/>
        <v>OK</v>
      </c>
    </row>
    <row r="133" spans="1:71" ht="30" outlineLevel="1" x14ac:dyDescent="0.25">
      <c r="A133" s="8" t="s">
        <v>24</v>
      </c>
      <c r="B133" s="8" t="s">
        <v>343</v>
      </c>
      <c r="C133" s="8" t="s">
        <v>323</v>
      </c>
      <c r="D133" s="9" t="s">
        <v>215</v>
      </c>
      <c r="E133" s="59" t="s">
        <v>207</v>
      </c>
      <c r="F133" s="59">
        <v>1</v>
      </c>
      <c r="G133" s="53">
        <v>93.14</v>
      </c>
      <c r="H133" s="53">
        <v>12.61</v>
      </c>
      <c r="I133" s="53">
        <f t="shared" si="178"/>
        <v>105.75</v>
      </c>
      <c r="J133" s="53">
        <f t="shared" si="179"/>
        <v>105.75</v>
      </c>
      <c r="K133" s="58">
        <v>0.27760000000000001</v>
      </c>
      <c r="L133" s="53">
        <f t="shared" si="180"/>
        <v>118.99</v>
      </c>
      <c r="M133" s="53">
        <f t="shared" si="180"/>
        <v>16.11</v>
      </c>
      <c r="N133" s="53">
        <f t="shared" si="181"/>
        <v>135.1</v>
      </c>
      <c r="Z133" s="55">
        <v>1</v>
      </c>
      <c r="AA133" s="56">
        <f>Z133*$N133</f>
        <v>135.1</v>
      </c>
      <c r="AE133" s="57">
        <f t="shared" si="182"/>
        <v>1</v>
      </c>
      <c r="AF133" s="50">
        <f t="shared" si="174"/>
        <v>135.1</v>
      </c>
      <c r="AG133" s="39" t="str">
        <f t="shared" si="175"/>
        <v>OK</v>
      </c>
      <c r="AJ133" s="8" t="s">
        <v>24</v>
      </c>
      <c r="AK133" s="8" t="s">
        <v>343</v>
      </c>
      <c r="AL133" s="8" t="s">
        <v>323</v>
      </c>
      <c r="AM133" s="9" t="s">
        <v>215</v>
      </c>
      <c r="AN133" s="59" t="s">
        <v>207</v>
      </c>
      <c r="AO133" s="85">
        <v>1</v>
      </c>
      <c r="AP133" s="59"/>
      <c r="AQ133" s="59">
        <f t="shared" si="183"/>
        <v>15.286791790913874</v>
      </c>
      <c r="AR133" s="59">
        <f t="shared" si="184"/>
        <v>93.492369759691272</v>
      </c>
      <c r="AS133" s="59">
        <f t="shared" si="185"/>
        <v>108.77916155060515</v>
      </c>
      <c r="AT133" s="88">
        <v>0.14019999999999999</v>
      </c>
      <c r="AU133" s="59">
        <v>17.43</v>
      </c>
      <c r="AV133" s="59">
        <v>106.6</v>
      </c>
      <c r="AW133" s="52">
        <f t="shared" si="186"/>
        <v>124.03</v>
      </c>
      <c r="AX133" s="53">
        <f t="shared" si="187"/>
        <v>17.43</v>
      </c>
      <c r="AY133" s="53">
        <f t="shared" si="188"/>
        <v>106.6</v>
      </c>
      <c r="AZ133" s="53">
        <f t="shared" si="189"/>
        <v>124.03</v>
      </c>
      <c r="BN133" s="55">
        <v>1</v>
      </c>
      <c r="BO133" s="97">
        <f t="shared" si="199"/>
        <v>124.03</v>
      </c>
      <c r="BQ133" s="57">
        <f t="shared" si="191"/>
        <v>1</v>
      </c>
      <c r="BR133" s="50">
        <f t="shared" si="177"/>
        <v>124.03</v>
      </c>
      <c r="BS133" s="39" t="str">
        <f t="shared" si="132"/>
        <v>OK</v>
      </c>
    </row>
    <row r="134" spans="1:71" outlineLevel="1" x14ac:dyDescent="0.25">
      <c r="A134" s="8" t="s">
        <v>24</v>
      </c>
      <c r="B134" s="8" t="s">
        <v>344</v>
      </c>
      <c r="C134" s="8" t="s">
        <v>324</v>
      </c>
      <c r="D134" s="9" t="s">
        <v>216</v>
      </c>
      <c r="E134" s="59" t="s">
        <v>156</v>
      </c>
      <c r="F134" s="59">
        <v>10</v>
      </c>
      <c r="G134" s="53">
        <v>7.07</v>
      </c>
      <c r="H134" s="53">
        <v>5.34</v>
      </c>
      <c r="I134" s="53">
        <f t="shared" si="178"/>
        <v>12.41</v>
      </c>
      <c r="J134" s="53">
        <f t="shared" si="179"/>
        <v>124.1</v>
      </c>
      <c r="K134" s="58">
        <v>0.27760000000000001</v>
      </c>
      <c r="L134" s="53">
        <f t="shared" si="180"/>
        <v>90.32</v>
      </c>
      <c r="M134" s="53">
        <f t="shared" si="180"/>
        <v>68.22</v>
      </c>
      <c r="N134" s="53">
        <f t="shared" si="181"/>
        <v>158.54</v>
      </c>
      <c r="Z134" s="55">
        <v>1</v>
      </c>
      <c r="AA134" s="56">
        <f>Z134*$N134</f>
        <v>158.54</v>
      </c>
      <c r="AE134" s="57">
        <f t="shared" si="182"/>
        <v>1</v>
      </c>
      <c r="AF134" s="50">
        <f t="shared" si="174"/>
        <v>158.54</v>
      </c>
      <c r="AG134" s="39" t="str">
        <f t="shared" si="175"/>
        <v>OK</v>
      </c>
      <c r="AJ134" s="8" t="s">
        <v>24</v>
      </c>
      <c r="AK134" s="8" t="s">
        <v>344</v>
      </c>
      <c r="AL134" s="8" t="s">
        <v>324</v>
      </c>
      <c r="AM134" s="9" t="s">
        <v>216</v>
      </c>
      <c r="AN134" s="59" t="s">
        <v>156</v>
      </c>
      <c r="AO134" s="85">
        <v>10</v>
      </c>
      <c r="AP134" s="59"/>
      <c r="AQ134" s="59">
        <f t="shared" si="183"/>
        <v>6.4550078933520432</v>
      </c>
      <c r="AR134" s="59">
        <f t="shared" si="184"/>
        <v>7.4197509208910715</v>
      </c>
      <c r="AS134" s="59">
        <f t="shared" si="185"/>
        <v>13.874758814243114</v>
      </c>
      <c r="AT134" s="88">
        <v>0.14019999999999999</v>
      </c>
      <c r="AU134" s="59">
        <v>7.36</v>
      </c>
      <c r="AV134" s="59">
        <v>8.4600000000000009</v>
      </c>
      <c r="AW134" s="52">
        <f t="shared" si="186"/>
        <v>15.82</v>
      </c>
      <c r="AX134" s="53">
        <f t="shared" si="187"/>
        <v>73.600000000000009</v>
      </c>
      <c r="AY134" s="53">
        <f t="shared" si="188"/>
        <v>84.600000000000009</v>
      </c>
      <c r="AZ134" s="53">
        <f t="shared" si="189"/>
        <v>158.19999999999999</v>
      </c>
      <c r="BN134" s="55">
        <v>1</v>
      </c>
      <c r="BO134" s="97">
        <f t="shared" si="199"/>
        <v>158.19999999999999</v>
      </c>
      <c r="BQ134" s="57">
        <f t="shared" si="191"/>
        <v>1</v>
      </c>
      <c r="BR134" s="50">
        <f t="shared" si="177"/>
        <v>158.19999999999999</v>
      </c>
      <c r="BS134" s="39" t="str">
        <f t="shared" si="132"/>
        <v>OK</v>
      </c>
    </row>
    <row r="135" spans="1:71" ht="30" outlineLevel="1" x14ac:dyDescent="0.25">
      <c r="A135" s="8" t="s">
        <v>24</v>
      </c>
      <c r="B135" s="8" t="s">
        <v>345</v>
      </c>
      <c r="C135" s="8" t="s">
        <v>325</v>
      </c>
      <c r="D135" s="9" t="s">
        <v>217</v>
      </c>
      <c r="E135" s="59" t="s">
        <v>156</v>
      </c>
      <c r="F135" s="59">
        <v>32.4</v>
      </c>
      <c r="G135" s="53">
        <f>0.12+47.82</f>
        <v>47.94</v>
      </c>
      <c r="H135" s="53">
        <v>5.67</v>
      </c>
      <c r="I135" s="53">
        <f t="shared" si="178"/>
        <v>53.61</v>
      </c>
      <c r="J135" s="53">
        <f t="shared" si="179"/>
        <v>1736.96</v>
      </c>
      <c r="K135" s="58">
        <v>0.27760000000000001</v>
      </c>
      <c r="L135" s="53">
        <f t="shared" si="180"/>
        <v>1984.43</v>
      </c>
      <c r="M135" s="53">
        <f t="shared" si="180"/>
        <v>234.7</v>
      </c>
      <c r="N135" s="53">
        <f t="shared" si="181"/>
        <v>2219.13</v>
      </c>
      <c r="Z135" s="55">
        <v>1</v>
      </c>
      <c r="AA135" s="56">
        <f t="shared" si="193"/>
        <v>2219.13</v>
      </c>
      <c r="AE135" s="57">
        <f t="shared" si="182"/>
        <v>1</v>
      </c>
      <c r="AF135" s="50">
        <f t="shared" si="174"/>
        <v>2219.13</v>
      </c>
      <c r="AG135" s="39" t="str">
        <f t="shared" si="175"/>
        <v>OK</v>
      </c>
      <c r="AJ135" s="8" t="s">
        <v>24</v>
      </c>
      <c r="AK135" s="8" t="s">
        <v>345</v>
      </c>
      <c r="AL135" s="8" t="s">
        <v>325</v>
      </c>
      <c r="AM135" s="9" t="s">
        <v>217</v>
      </c>
      <c r="AN135" s="59" t="s">
        <v>156</v>
      </c>
      <c r="AO135" s="85">
        <v>32.4</v>
      </c>
      <c r="AP135" s="59"/>
      <c r="AQ135" s="59">
        <f t="shared" si="183"/>
        <v>6.875986669005437</v>
      </c>
      <c r="AR135" s="59">
        <f t="shared" si="184"/>
        <v>45.684967549552709</v>
      </c>
      <c r="AS135" s="59">
        <f t="shared" si="185"/>
        <v>52.560954218558152</v>
      </c>
      <c r="AT135" s="88">
        <v>0.14019999999999999</v>
      </c>
      <c r="AU135" s="59">
        <v>7.84</v>
      </c>
      <c r="AV135" s="59">
        <v>52.09</v>
      </c>
      <c r="AW135" s="52">
        <f t="shared" si="186"/>
        <v>59.930000000000007</v>
      </c>
      <c r="AX135" s="53">
        <f t="shared" si="187"/>
        <v>254.01599999999999</v>
      </c>
      <c r="AY135" s="53">
        <f t="shared" si="188"/>
        <v>1687.7160000000001</v>
      </c>
      <c r="AZ135" s="53">
        <f t="shared" si="189"/>
        <v>1941.7320000000002</v>
      </c>
      <c r="BN135" s="55">
        <v>1</v>
      </c>
      <c r="BO135" s="97">
        <f t="shared" si="199"/>
        <v>1941.7320000000002</v>
      </c>
      <c r="BQ135" s="57">
        <f t="shared" si="191"/>
        <v>1</v>
      </c>
      <c r="BR135" s="50">
        <f t="shared" si="177"/>
        <v>1941.7320000000002</v>
      </c>
      <c r="BS135" s="39" t="str">
        <f t="shared" si="132"/>
        <v>OK</v>
      </c>
    </row>
    <row r="136" spans="1:71" outlineLevel="1" x14ac:dyDescent="0.25">
      <c r="A136" s="8" t="s">
        <v>24</v>
      </c>
      <c r="B136" s="8" t="s">
        <v>346</v>
      </c>
      <c r="C136" s="8" t="s">
        <v>291</v>
      </c>
      <c r="D136" s="9" t="s">
        <v>148</v>
      </c>
      <c r="E136" s="59" t="s">
        <v>149</v>
      </c>
      <c r="F136" s="59">
        <v>2</v>
      </c>
      <c r="G136" s="53">
        <f>0.06+27.72+0.05</f>
        <v>27.83</v>
      </c>
      <c r="H136" s="53">
        <v>17.05</v>
      </c>
      <c r="I136" s="53">
        <f t="shared" si="178"/>
        <v>44.879999999999995</v>
      </c>
      <c r="J136" s="53">
        <f t="shared" si="179"/>
        <v>89.76</v>
      </c>
      <c r="K136" s="58">
        <v>0.27760000000000001</v>
      </c>
      <c r="L136" s="53">
        <f t="shared" si="180"/>
        <v>71.11</v>
      </c>
      <c r="M136" s="53">
        <f t="shared" si="180"/>
        <v>43.56</v>
      </c>
      <c r="N136" s="53">
        <f t="shared" si="181"/>
        <v>114.67</v>
      </c>
      <c r="Z136" s="55">
        <v>1</v>
      </c>
      <c r="AA136" s="56">
        <f t="shared" si="193"/>
        <v>114.67</v>
      </c>
      <c r="AE136" s="57">
        <f t="shared" si="182"/>
        <v>1</v>
      </c>
      <c r="AF136" s="50">
        <f t="shared" si="174"/>
        <v>114.67</v>
      </c>
      <c r="AG136" s="39" t="str">
        <f t="shared" si="175"/>
        <v>OK</v>
      </c>
      <c r="AJ136" s="8" t="s">
        <v>24</v>
      </c>
      <c r="AK136" s="8" t="s">
        <v>346</v>
      </c>
      <c r="AL136" s="8" t="s">
        <v>291</v>
      </c>
      <c r="AM136" s="9" t="s">
        <v>148</v>
      </c>
      <c r="AN136" s="59" t="s">
        <v>149</v>
      </c>
      <c r="AO136" s="85">
        <v>2</v>
      </c>
      <c r="AP136" s="59"/>
      <c r="AQ136" s="59">
        <f t="shared" si="183"/>
        <v>20.38238905455183</v>
      </c>
      <c r="AR136" s="59">
        <f t="shared" si="184"/>
        <v>28.144185230661289</v>
      </c>
      <c r="AS136" s="59">
        <f t="shared" si="185"/>
        <v>48.526574285213115</v>
      </c>
      <c r="AT136" s="88">
        <v>0.14019999999999999</v>
      </c>
      <c r="AU136" s="59">
        <v>23.24</v>
      </c>
      <c r="AV136" s="59">
        <v>32.090000000000003</v>
      </c>
      <c r="AW136" s="52">
        <f t="shared" si="186"/>
        <v>55.33</v>
      </c>
      <c r="AX136" s="53">
        <f t="shared" si="187"/>
        <v>46.48</v>
      </c>
      <c r="AY136" s="53">
        <f t="shared" si="188"/>
        <v>64.180000000000007</v>
      </c>
      <c r="AZ136" s="53">
        <f t="shared" si="189"/>
        <v>110.66</v>
      </c>
      <c r="BJ136" s="55">
        <v>1</v>
      </c>
      <c r="BK136" s="97">
        <f t="shared" ref="BK136:BK138" si="200">BJ136*$AZ136</f>
        <v>110.66</v>
      </c>
      <c r="BQ136" s="57">
        <f t="shared" si="191"/>
        <v>1</v>
      </c>
      <c r="BR136" s="50">
        <f t="shared" si="177"/>
        <v>110.66</v>
      </c>
      <c r="BS136" s="39" t="str">
        <f t="shared" si="132"/>
        <v>OK</v>
      </c>
    </row>
    <row r="137" spans="1:71" ht="30" outlineLevel="1" x14ac:dyDescent="0.25">
      <c r="A137" s="8" t="s">
        <v>24</v>
      </c>
      <c r="B137" s="8" t="s">
        <v>347</v>
      </c>
      <c r="C137" s="8" t="s">
        <v>292</v>
      </c>
      <c r="D137" s="9" t="s">
        <v>150</v>
      </c>
      <c r="E137" s="59" t="s">
        <v>151</v>
      </c>
      <c r="F137" s="59">
        <v>0.154</v>
      </c>
      <c r="G137" s="53">
        <v>42.78</v>
      </c>
      <c r="H137" s="53">
        <v>61.64</v>
      </c>
      <c r="I137" s="53">
        <f t="shared" si="178"/>
        <v>104.42</v>
      </c>
      <c r="J137" s="53">
        <f t="shared" si="179"/>
        <v>16.079999999999998</v>
      </c>
      <c r="K137" s="58">
        <v>0.27760000000000001</v>
      </c>
      <c r="L137" s="53">
        <f t="shared" si="180"/>
        <v>8.41</v>
      </c>
      <c r="M137" s="53">
        <f t="shared" si="180"/>
        <v>12.12</v>
      </c>
      <c r="N137" s="53">
        <f t="shared" si="181"/>
        <v>20.53</v>
      </c>
      <c r="Z137" s="55">
        <v>1</v>
      </c>
      <c r="AA137" s="56">
        <f t="shared" si="193"/>
        <v>20.53</v>
      </c>
      <c r="AE137" s="57">
        <f t="shared" si="182"/>
        <v>1</v>
      </c>
      <c r="AF137" s="50">
        <f t="shared" si="174"/>
        <v>20.53</v>
      </c>
      <c r="AG137" s="39" t="str">
        <f t="shared" si="175"/>
        <v>OK</v>
      </c>
      <c r="AJ137" s="8" t="s">
        <v>24</v>
      </c>
      <c r="AK137" s="8" t="s">
        <v>347</v>
      </c>
      <c r="AL137" s="8" t="s">
        <v>292</v>
      </c>
      <c r="AM137" s="9" t="s">
        <v>150</v>
      </c>
      <c r="AN137" s="59" t="s">
        <v>151</v>
      </c>
      <c r="AO137" s="85">
        <v>0.15</v>
      </c>
      <c r="AP137" s="59"/>
      <c r="AQ137" s="59">
        <f t="shared" si="183"/>
        <v>51.780389405367472</v>
      </c>
      <c r="AR137" s="59">
        <f t="shared" si="184"/>
        <v>20.075425363971231</v>
      </c>
      <c r="AS137" s="59">
        <f t="shared" si="185"/>
        <v>71.855814769338707</v>
      </c>
      <c r="AT137" s="88">
        <v>0.14019999999999999</v>
      </c>
      <c r="AU137" s="59">
        <v>59.04</v>
      </c>
      <c r="AV137" s="59">
        <v>22.89</v>
      </c>
      <c r="AW137" s="52">
        <f t="shared" si="186"/>
        <v>81.93</v>
      </c>
      <c r="AX137" s="53">
        <f>$AO137*AU137-0.01</f>
        <v>8.8460000000000001</v>
      </c>
      <c r="AY137" s="53">
        <f t="shared" si="188"/>
        <v>3.4335</v>
      </c>
      <c r="AZ137" s="89">
        <f t="shared" ref="AZ137" si="201">AX137+AY137</f>
        <v>12.279500000000001</v>
      </c>
      <c r="BJ137" s="55">
        <v>1</v>
      </c>
      <c r="BK137" s="97">
        <f t="shared" si="200"/>
        <v>12.279500000000001</v>
      </c>
      <c r="BQ137" s="57">
        <f t="shared" si="191"/>
        <v>1</v>
      </c>
      <c r="BR137" s="50">
        <f t="shared" si="177"/>
        <v>12.279500000000001</v>
      </c>
      <c r="BS137" s="39" t="str">
        <f t="shared" si="132"/>
        <v>OK</v>
      </c>
    </row>
    <row r="138" spans="1:71" outlineLevel="1" x14ac:dyDescent="0.25">
      <c r="A138" s="8" t="s">
        <v>24</v>
      </c>
      <c r="B138" s="8" t="s">
        <v>348</v>
      </c>
      <c r="C138" s="8" t="s">
        <v>293</v>
      </c>
      <c r="D138" s="9" t="s">
        <v>152</v>
      </c>
      <c r="E138" s="59" t="s">
        <v>151</v>
      </c>
      <c r="F138" s="59">
        <v>0.32</v>
      </c>
      <c r="G138" s="53">
        <v>24.89</v>
      </c>
      <c r="H138" s="53">
        <v>56.09</v>
      </c>
      <c r="I138" s="53">
        <f t="shared" si="178"/>
        <v>80.98</v>
      </c>
      <c r="J138" s="53">
        <f t="shared" si="179"/>
        <v>25.91</v>
      </c>
      <c r="K138" s="58">
        <v>0.27760000000000001</v>
      </c>
      <c r="L138" s="53">
        <f t="shared" si="180"/>
        <v>10.17</v>
      </c>
      <c r="M138" s="53">
        <f t="shared" si="180"/>
        <v>22.93</v>
      </c>
      <c r="N138" s="53">
        <f t="shared" si="181"/>
        <v>33.1</v>
      </c>
      <c r="Z138" s="55">
        <v>1</v>
      </c>
      <c r="AA138" s="56">
        <f t="shared" si="193"/>
        <v>33.1</v>
      </c>
      <c r="AE138" s="57">
        <f t="shared" si="182"/>
        <v>1</v>
      </c>
      <c r="AF138" s="50">
        <f t="shared" si="174"/>
        <v>33.1</v>
      </c>
      <c r="AG138" s="39" t="str">
        <f t="shared" si="175"/>
        <v>OK</v>
      </c>
      <c r="AJ138" s="8" t="s">
        <v>24</v>
      </c>
      <c r="AK138" s="8" t="s">
        <v>348</v>
      </c>
      <c r="AL138" s="8" t="s">
        <v>293</v>
      </c>
      <c r="AM138" s="9" t="s">
        <v>152</v>
      </c>
      <c r="AN138" s="59" t="s">
        <v>151</v>
      </c>
      <c r="AO138" s="85">
        <v>0.32</v>
      </c>
      <c r="AP138" s="59"/>
      <c r="AQ138" s="59">
        <f t="shared" si="183"/>
        <v>67.900368356428686</v>
      </c>
      <c r="AR138" s="59">
        <f t="shared" si="184"/>
        <v>26.495351692685492</v>
      </c>
      <c r="AS138" s="59">
        <f t="shared" si="185"/>
        <v>94.395720049114175</v>
      </c>
      <c r="AT138" s="88">
        <v>0.14019999999999999</v>
      </c>
      <c r="AU138" s="59">
        <v>77.42</v>
      </c>
      <c r="AV138" s="59">
        <v>30.21</v>
      </c>
      <c r="AW138" s="52">
        <f t="shared" si="186"/>
        <v>107.63</v>
      </c>
      <c r="AX138" s="53">
        <f t="shared" si="187"/>
        <v>24.7744</v>
      </c>
      <c r="AY138" s="53">
        <f t="shared" si="188"/>
        <v>9.6672000000000011</v>
      </c>
      <c r="AZ138" s="53">
        <f t="shared" si="189"/>
        <v>34.441600000000001</v>
      </c>
      <c r="BJ138" s="55">
        <v>1</v>
      </c>
      <c r="BK138" s="97">
        <f t="shared" si="200"/>
        <v>34.441600000000001</v>
      </c>
      <c r="BQ138" s="57">
        <f t="shared" si="191"/>
        <v>1</v>
      </c>
      <c r="BR138" s="50">
        <f t="shared" si="177"/>
        <v>34.441600000000001</v>
      </c>
      <c r="BS138" s="39" t="str">
        <f t="shared" ref="BS138:BS167" si="202">IF(BR138=AZ138,"OK","VERIFICAR")</f>
        <v>OK</v>
      </c>
    </row>
    <row r="139" spans="1:71" outlineLevel="1" x14ac:dyDescent="0.25">
      <c r="A139" s="8" t="s">
        <v>24</v>
      </c>
      <c r="B139" s="8" t="s">
        <v>349</v>
      </c>
      <c r="C139" s="8" t="s">
        <v>313</v>
      </c>
      <c r="D139" s="9" t="s">
        <v>174</v>
      </c>
      <c r="E139" s="59" t="s">
        <v>156</v>
      </c>
      <c r="F139" s="59">
        <v>55.2</v>
      </c>
      <c r="G139" s="53">
        <v>7.79</v>
      </c>
      <c r="H139" s="53">
        <v>2.95</v>
      </c>
      <c r="I139" s="53">
        <f t="shared" si="178"/>
        <v>10.74</v>
      </c>
      <c r="J139" s="53">
        <f t="shared" si="179"/>
        <v>592.84</v>
      </c>
      <c r="K139" s="58">
        <v>0.27760000000000001</v>
      </c>
      <c r="L139" s="53">
        <f t="shared" si="180"/>
        <v>549.37</v>
      </c>
      <c r="M139" s="53">
        <f t="shared" si="180"/>
        <v>208.04</v>
      </c>
      <c r="N139" s="53">
        <f t="shared" si="181"/>
        <v>757.41</v>
      </c>
      <c r="AB139" s="55">
        <v>1</v>
      </c>
      <c r="AC139" s="56">
        <f t="shared" ref="AC139" si="203">AB139*$N139</f>
        <v>757.41</v>
      </c>
      <c r="AE139" s="57">
        <f t="shared" si="182"/>
        <v>1</v>
      </c>
      <c r="AF139" s="50">
        <f t="shared" si="174"/>
        <v>757.41</v>
      </c>
      <c r="AG139" s="39" t="str">
        <f t="shared" si="175"/>
        <v>OK</v>
      </c>
      <c r="AJ139" s="8" t="s">
        <v>24</v>
      </c>
      <c r="AK139" s="8" t="s">
        <v>349</v>
      </c>
      <c r="AL139" s="8" t="s">
        <v>313</v>
      </c>
      <c r="AM139" s="9" t="s">
        <v>174</v>
      </c>
      <c r="AN139" s="59" t="s">
        <v>156</v>
      </c>
      <c r="AO139" s="85">
        <v>55.2</v>
      </c>
      <c r="AP139" s="59"/>
      <c r="AQ139" s="59">
        <f t="shared" si="183"/>
        <v>3.5432380284160669</v>
      </c>
      <c r="AR139" s="59">
        <f t="shared" si="184"/>
        <v>7.9898263462550414</v>
      </c>
      <c r="AS139" s="59">
        <f t="shared" si="185"/>
        <v>11.533064374671108</v>
      </c>
      <c r="AT139" s="88">
        <v>0.14019999999999999</v>
      </c>
      <c r="AU139" s="59">
        <v>4.04</v>
      </c>
      <c r="AV139" s="59">
        <v>9.11</v>
      </c>
      <c r="AW139" s="52">
        <f t="shared" si="186"/>
        <v>13.149999999999999</v>
      </c>
      <c r="AX139" s="53">
        <f t="shared" si="187"/>
        <v>223.00800000000001</v>
      </c>
      <c r="AY139" s="53">
        <f t="shared" si="188"/>
        <v>502.87200000000001</v>
      </c>
      <c r="AZ139" s="53">
        <f t="shared" si="189"/>
        <v>725.88</v>
      </c>
      <c r="BN139" s="55">
        <v>1</v>
      </c>
      <c r="BO139" s="97">
        <f t="shared" ref="BO139" si="204">BN139*$AZ139</f>
        <v>725.88</v>
      </c>
      <c r="BQ139" s="57">
        <f t="shared" si="191"/>
        <v>1</v>
      </c>
      <c r="BR139" s="50">
        <f t="shared" si="177"/>
        <v>725.88</v>
      </c>
      <c r="BS139" s="39" t="str">
        <f t="shared" si="202"/>
        <v>OK</v>
      </c>
    </row>
    <row r="140" spans="1:71" ht="45" outlineLevel="1" x14ac:dyDescent="0.25">
      <c r="A140" s="8" t="s">
        <v>24</v>
      </c>
      <c r="B140" s="8" t="s">
        <v>350</v>
      </c>
      <c r="C140" s="8" t="s">
        <v>302</v>
      </c>
      <c r="D140" s="9" t="s">
        <v>218</v>
      </c>
      <c r="E140" s="59" t="s">
        <v>156</v>
      </c>
      <c r="F140" s="59">
        <v>0.72</v>
      </c>
      <c r="G140" s="53">
        <v>37.29</v>
      </c>
      <c r="H140" s="53">
        <v>15.77</v>
      </c>
      <c r="I140" s="53">
        <f t="shared" si="178"/>
        <v>53.06</v>
      </c>
      <c r="J140" s="53">
        <f t="shared" si="179"/>
        <v>38.200000000000003</v>
      </c>
      <c r="K140" s="58">
        <v>0.27760000000000001</v>
      </c>
      <c r="L140" s="53">
        <f t="shared" si="180"/>
        <v>34.299999999999997</v>
      </c>
      <c r="M140" s="53">
        <f t="shared" si="180"/>
        <v>14.5</v>
      </c>
      <c r="N140" s="53">
        <f t="shared" si="181"/>
        <v>48.8</v>
      </c>
      <c r="Z140" s="55">
        <v>1</v>
      </c>
      <c r="AA140" s="56">
        <f t="shared" ref="AA140:AA142" si="205">Z140*$N140</f>
        <v>48.8</v>
      </c>
      <c r="AE140" s="57">
        <f t="shared" si="182"/>
        <v>1</v>
      </c>
      <c r="AF140" s="50">
        <f t="shared" si="174"/>
        <v>48.8</v>
      </c>
      <c r="AG140" s="39" t="str">
        <f t="shared" si="175"/>
        <v>OK</v>
      </c>
      <c r="AJ140" s="8" t="s">
        <v>24</v>
      </c>
      <c r="AK140" s="8" t="s">
        <v>350</v>
      </c>
      <c r="AL140" s="8" t="s">
        <v>302</v>
      </c>
      <c r="AM140" s="9" t="s">
        <v>218</v>
      </c>
      <c r="AN140" s="59" t="s">
        <v>156</v>
      </c>
      <c r="AO140" s="85">
        <v>0.72</v>
      </c>
      <c r="AP140" s="59"/>
      <c r="AQ140" s="59">
        <f t="shared" si="183"/>
        <v>19.084371162953868</v>
      </c>
      <c r="AR140" s="59">
        <f t="shared" si="184"/>
        <v>38.300298193299419</v>
      </c>
      <c r="AS140" s="59">
        <f t="shared" si="185"/>
        <v>57.384669356253291</v>
      </c>
      <c r="AT140" s="88">
        <v>0.14019999999999999</v>
      </c>
      <c r="AU140" s="59">
        <v>21.76</v>
      </c>
      <c r="AV140" s="59">
        <v>43.67</v>
      </c>
      <c r="AW140" s="52">
        <f t="shared" si="186"/>
        <v>65.430000000000007</v>
      </c>
      <c r="AX140" s="53">
        <f>$AO140*AU140-0.01</f>
        <v>15.657200000000001</v>
      </c>
      <c r="AY140" s="53">
        <f t="shared" si="188"/>
        <v>31.442399999999999</v>
      </c>
      <c r="AZ140" s="89">
        <f t="shared" ref="AZ140" si="206">AX140+AY140</f>
        <v>47.099600000000002</v>
      </c>
      <c r="BN140" s="55">
        <v>1</v>
      </c>
      <c r="BO140" s="97">
        <f t="shared" ref="BO140:BO144" si="207">BN140*$AZ140</f>
        <v>47.099600000000002</v>
      </c>
      <c r="BQ140" s="57">
        <f t="shared" si="191"/>
        <v>1</v>
      </c>
      <c r="BR140" s="50">
        <f t="shared" si="177"/>
        <v>47.099600000000002</v>
      </c>
      <c r="BS140" s="39" t="str">
        <f t="shared" si="202"/>
        <v>OK</v>
      </c>
    </row>
    <row r="141" spans="1:71" ht="30" outlineLevel="1" x14ac:dyDescent="0.25">
      <c r="A141" s="8" t="s">
        <v>24</v>
      </c>
      <c r="B141" s="8" t="s">
        <v>351</v>
      </c>
      <c r="C141" s="8" t="s">
        <v>303</v>
      </c>
      <c r="D141" s="9" t="s">
        <v>164</v>
      </c>
      <c r="E141" s="59" t="s">
        <v>156</v>
      </c>
      <c r="F141" s="59">
        <v>9.6</v>
      </c>
      <c r="G141" s="53">
        <v>1.45</v>
      </c>
      <c r="H141" s="53">
        <v>1.21</v>
      </c>
      <c r="I141" s="53">
        <f t="shared" si="178"/>
        <v>2.66</v>
      </c>
      <c r="J141" s="53">
        <f t="shared" si="179"/>
        <v>25.53</v>
      </c>
      <c r="K141" s="58">
        <v>0.27760000000000001</v>
      </c>
      <c r="L141" s="53">
        <f t="shared" si="180"/>
        <v>17.78</v>
      </c>
      <c r="M141" s="53">
        <f t="shared" si="180"/>
        <v>14.84</v>
      </c>
      <c r="N141" s="53">
        <f t="shared" si="181"/>
        <v>32.620000000000005</v>
      </c>
      <c r="Z141" s="55">
        <v>1</v>
      </c>
      <c r="AA141" s="56">
        <f t="shared" si="205"/>
        <v>32.620000000000005</v>
      </c>
      <c r="AE141" s="57">
        <f t="shared" si="182"/>
        <v>1</v>
      </c>
      <c r="AF141" s="50">
        <f t="shared" si="174"/>
        <v>32.620000000000005</v>
      </c>
      <c r="AG141" s="39" t="str">
        <f t="shared" si="175"/>
        <v>OK</v>
      </c>
      <c r="AJ141" s="8" t="s">
        <v>24</v>
      </c>
      <c r="AK141" s="8" t="s">
        <v>351</v>
      </c>
      <c r="AL141" s="8" t="s">
        <v>303</v>
      </c>
      <c r="AM141" s="9" t="s">
        <v>164</v>
      </c>
      <c r="AN141" s="59" t="s">
        <v>156</v>
      </c>
      <c r="AO141" s="85">
        <v>9.6</v>
      </c>
      <c r="AP141" s="59"/>
      <c r="AQ141" s="59">
        <f t="shared" si="183"/>
        <v>1.3506402385546394</v>
      </c>
      <c r="AR141" s="59">
        <f t="shared" si="184"/>
        <v>1.4909664971057708</v>
      </c>
      <c r="AS141" s="59">
        <f t="shared" si="185"/>
        <v>2.8416067356604104</v>
      </c>
      <c r="AT141" s="88">
        <v>0.14019999999999999</v>
      </c>
      <c r="AU141" s="59">
        <v>1.54</v>
      </c>
      <c r="AV141" s="59">
        <v>1.7</v>
      </c>
      <c r="AW141" s="52">
        <f t="shared" si="186"/>
        <v>3.24</v>
      </c>
      <c r="AX141" s="53">
        <f t="shared" si="187"/>
        <v>14.783999999999999</v>
      </c>
      <c r="AY141" s="53">
        <f t="shared" si="188"/>
        <v>16.32</v>
      </c>
      <c r="AZ141" s="53">
        <f t="shared" si="189"/>
        <v>31.103999999999999</v>
      </c>
      <c r="BN141" s="55">
        <v>1</v>
      </c>
      <c r="BO141" s="97">
        <f t="shared" si="207"/>
        <v>31.103999999999999</v>
      </c>
      <c r="BQ141" s="57">
        <f t="shared" si="191"/>
        <v>1</v>
      </c>
      <c r="BR141" s="50">
        <f t="shared" si="177"/>
        <v>31.103999999999999</v>
      </c>
      <c r="BS141" s="39" t="str">
        <f t="shared" si="202"/>
        <v>OK</v>
      </c>
    </row>
    <row r="142" spans="1:71" ht="45" outlineLevel="1" x14ac:dyDescent="0.25">
      <c r="A142" s="8" t="s">
        <v>24</v>
      </c>
      <c r="B142" s="8" t="s">
        <v>352</v>
      </c>
      <c r="C142" s="8" t="s">
        <v>304</v>
      </c>
      <c r="D142" s="9" t="s">
        <v>165</v>
      </c>
      <c r="E142" s="59" t="s">
        <v>156</v>
      </c>
      <c r="F142" s="59">
        <v>9.6</v>
      </c>
      <c r="G142" s="53">
        <v>18.690000000000001</v>
      </c>
      <c r="H142" s="53">
        <v>20.04</v>
      </c>
      <c r="I142" s="53">
        <f t="shared" si="178"/>
        <v>38.730000000000004</v>
      </c>
      <c r="J142" s="53">
        <f t="shared" si="179"/>
        <v>371.8</v>
      </c>
      <c r="K142" s="58">
        <v>0.27760000000000001</v>
      </c>
      <c r="L142" s="53">
        <f t="shared" ref="L142:M156" si="208">TRUNC($F142*G142*(1+$K142),2)</f>
        <v>229.23</v>
      </c>
      <c r="M142" s="53">
        <f t="shared" si="208"/>
        <v>245.78</v>
      </c>
      <c r="N142" s="53">
        <f t="shared" si="181"/>
        <v>475.01</v>
      </c>
      <c r="Z142" s="55">
        <v>1</v>
      </c>
      <c r="AA142" s="56">
        <f t="shared" si="205"/>
        <v>475.01</v>
      </c>
      <c r="AE142" s="57">
        <f t="shared" si="182"/>
        <v>1</v>
      </c>
      <c r="AF142" s="50">
        <f t="shared" si="174"/>
        <v>475.01</v>
      </c>
      <c r="AG142" s="39" t="str">
        <f t="shared" si="175"/>
        <v>OK</v>
      </c>
      <c r="AJ142" s="8" t="s">
        <v>24</v>
      </c>
      <c r="AK142" s="8" t="s">
        <v>352</v>
      </c>
      <c r="AL142" s="8" t="s">
        <v>304</v>
      </c>
      <c r="AM142" s="9" t="s">
        <v>165</v>
      </c>
      <c r="AN142" s="59" t="s">
        <v>156</v>
      </c>
      <c r="AO142" s="85">
        <v>9.6</v>
      </c>
      <c r="AP142" s="59"/>
      <c r="AQ142" s="59">
        <f t="shared" si="183"/>
        <v>24.215049991229606</v>
      </c>
      <c r="AR142" s="59">
        <f t="shared" si="184"/>
        <v>18.996667251359408</v>
      </c>
      <c r="AS142" s="59">
        <f t="shared" si="185"/>
        <v>43.21171724258901</v>
      </c>
      <c r="AT142" s="88">
        <v>0.14019999999999999</v>
      </c>
      <c r="AU142" s="59">
        <v>27.61</v>
      </c>
      <c r="AV142" s="59">
        <v>21.66</v>
      </c>
      <c r="AW142" s="52">
        <f t="shared" si="186"/>
        <v>49.269999999999996</v>
      </c>
      <c r="AX142" s="53">
        <f t="shared" si="187"/>
        <v>265.05599999999998</v>
      </c>
      <c r="AY142" s="53">
        <f t="shared" si="188"/>
        <v>207.93600000000001</v>
      </c>
      <c r="AZ142" s="53">
        <f t="shared" si="189"/>
        <v>472.99199999999996</v>
      </c>
      <c r="BN142" s="55">
        <v>1</v>
      </c>
      <c r="BO142" s="97">
        <f t="shared" si="207"/>
        <v>472.99199999999996</v>
      </c>
      <c r="BQ142" s="57">
        <f t="shared" si="191"/>
        <v>1</v>
      </c>
      <c r="BR142" s="50">
        <f t="shared" si="177"/>
        <v>472.99199999999996</v>
      </c>
      <c r="BS142" s="39" t="str">
        <f t="shared" si="202"/>
        <v>OK</v>
      </c>
    </row>
    <row r="143" spans="1:71" outlineLevel="1" x14ac:dyDescent="0.25">
      <c r="A143" s="8" t="s">
        <v>24</v>
      </c>
      <c r="B143" s="8" t="s">
        <v>353</v>
      </c>
      <c r="C143" s="8" t="s">
        <v>311</v>
      </c>
      <c r="D143" s="9" t="s">
        <v>172</v>
      </c>
      <c r="E143" s="59" t="s">
        <v>156</v>
      </c>
      <c r="F143" s="59">
        <v>55.2</v>
      </c>
      <c r="G143" s="53">
        <v>2.16</v>
      </c>
      <c r="H143" s="53">
        <v>0.41</v>
      </c>
      <c r="I143" s="53">
        <f t="shared" si="178"/>
        <v>2.5700000000000003</v>
      </c>
      <c r="J143" s="53">
        <f t="shared" si="179"/>
        <v>141.86000000000001</v>
      </c>
      <c r="K143" s="58">
        <v>0.27760000000000001</v>
      </c>
      <c r="L143" s="53">
        <f t="shared" si="208"/>
        <v>152.33000000000001</v>
      </c>
      <c r="M143" s="53">
        <f t="shared" si="208"/>
        <v>28.91</v>
      </c>
      <c r="N143" s="53">
        <f t="shared" si="181"/>
        <v>181.24</v>
      </c>
      <c r="AB143" s="55">
        <v>1</v>
      </c>
      <c r="AC143" s="56">
        <f t="shared" ref="AC143:AC144" si="209">AB143*$N143</f>
        <v>181.24</v>
      </c>
      <c r="AE143" s="57">
        <f t="shared" si="182"/>
        <v>1</v>
      </c>
      <c r="AF143" s="50">
        <f t="shared" si="174"/>
        <v>181.24</v>
      </c>
      <c r="AG143" s="39" t="str">
        <f t="shared" si="175"/>
        <v>OK</v>
      </c>
      <c r="AJ143" s="8" t="s">
        <v>24</v>
      </c>
      <c r="AK143" s="8" t="s">
        <v>353</v>
      </c>
      <c r="AL143" s="8" t="s">
        <v>311</v>
      </c>
      <c r="AM143" s="9" t="s">
        <v>172</v>
      </c>
      <c r="AN143" s="59" t="s">
        <v>156</v>
      </c>
      <c r="AO143" s="85">
        <v>55.2</v>
      </c>
      <c r="AP143" s="59"/>
      <c r="AQ143" s="59">
        <f t="shared" si="183"/>
        <v>0.50868268724785115</v>
      </c>
      <c r="AR143" s="59">
        <f t="shared" si="184"/>
        <v>2.1312050517453076</v>
      </c>
      <c r="AS143" s="59">
        <f t="shared" si="185"/>
        <v>2.639887738993159</v>
      </c>
      <c r="AT143" s="88">
        <v>0.14019999999999999</v>
      </c>
      <c r="AU143" s="59">
        <v>0.57999999999999996</v>
      </c>
      <c r="AV143" s="59">
        <v>2.4300000000000002</v>
      </c>
      <c r="AW143" s="52">
        <f t="shared" si="186"/>
        <v>3.0100000000000002</v>
      </c>
      <c r="AX143" s="53">
        <f t="shared" si="187"/>
        <v>32.015999999999998</v>
      </c>
      <c r="AY143" s="53">
        <f t="shared" si="188"/>
        <v>134.13600000000002</v>
      </c>
      <c r="AZ143" s="53">
        <f t="shared" si="189"/>
        <v>166.15200000000002</v>
      </c>
      <c r="BN143" s="55">
        <v>1</v>
      </c>
      <c r="BO143" s="97">
        <f t="shared" si="207"/>
        <v>166.15200000000002</v>
      </c>
      <c r="BQ143" s="57">
        <f t="shared" si="191"/>
        <v>1</v>
      </c>
      <c r="BR143" s="50">
        <f t="shared" si="177"/>
        <v>166.15200000000002</v>
      </c>
      <c r="BS143" s="39" t="str">
        <f t="shared" si="202"/>
        <v>OK</v>
      </c>
    </row>
    <row r="144" spans="1:71" ht="30" outlineLevel="1" x14ac:dyDescent="0.25">
      <c r="A144" s="8" t="s">
        <v>24</v>
      </c>
      <c r="B144" s="8" t="s">
        <v>354</v>
      </c>
      <c r="C144" s="8" t="s">
        <v>312</v>
      </c>
      <c r="D144" s="9" t="s">
        <v>173</v>
      </c>
      <c r="E144" s="59" t="s">
        <v>156</v>
      </c>
      <c r="F144" s="59">
        <f>(5*2.5)*3</f>
        <v>37.5</v>
      </c>
      <c r="G144" s="53">
        <v>11.28</v>
      </c>
      <c r="H144" s="53">
        <v>3.57</v>
      </c>
      <c r="I144" s="53">
        <f t="shared" si="178"/>
        <v>14.85</v>
      </c>
      <c r="J144" s="53">
        <f t="shared" si="179"/>
        <v>556.87</v>
      </c>
      <c r="K144" s="58">
        <v>0.27760000000000001</v>
      </c>
      <c r="L144" s="53">
        <f t="shared" si="208"/>
        <v>540.41999999999996</v>
      </c>
      <c r="M144" s="53">
        <f t="shared" si="208"/>
        <v>171.03</v>
      </c>
      <c r="N144" s="53">
        <f t="shared" si="181"/>
        <v>711.44999999999993</v>
      </c>
      <c r="AB144" s="55">
        <v>1</v>
      </c>
      <c r="AC144" s="56">
        <f t="shared" si="209"/>
        <v>711.44999999999993</v>
      </c>
      <c r="AE144" s="57">
        <f t="shared" si="182"/>
        <v>1</v>
      </c>
      <c r="AF144" s="50">
        <f t="shared" si="174"/>
        <v>711.44999999999993</v>
      </c>
      <c r="AG144" s="39" t="str">
        <f t="shared" si="175"/>
        <v>OK</v>
      </c>
      <c r="AJ144" s="8" t="s">
        <v>24</v>
      </c>
      <c r="AK144" s="8" t="s">
        <v>354</v>
      </c>
      <c r="AL144" s="8" t="s">
        <v>312</v>
      </c>
      <c r="AM144" s="9" t="s">
        <v>173</v>
      </c>
      <c r="AN144" s="59" t="s">
        <v>156</v>
      </c>
      <c r="AO144" s="85">
        <f>(5*2.5)*3</f>
        <v>37.5</v>
      </c>
      <c r="AP144" s="59"/>
      <c r="AQ144" s="59">
        <f t="shared" si="183"/>
        <v>4.3325732327661814</v>
      </c>
      <c r="AR144" s="59">
        <f t="shared" si="184"/>
        <v>11.831257674092264</v>
      </c>
      <c r="AS144" s="59">
        <f t="shared" si="185"/>
        <v>16.163830906858443</v>
      </c>
      <c r="AT144" s="88">
        <v>0.14019999999999999</v>
      </c>
      <c r="AU144" s="59">
        <v>4.9400000000000004</v>
      </c>
      <c r="AV144" s="59">
        <v>13.49</v>
      </c>
      <c r="AW144" s="52">
        <f t="shared" si="186"/>
        <v>18.43</v>
      </c>
      <c r="AX144" s="53">
        <f t="shared" si="187"/>
        <v>185.25000000000003</v>
      </c>
      <c r="AY144" s="53">
        <f>$AO144*AV144-0.01</f>
        <v>505.86500000000001</v>
      </c>
      <c r="AZ144" s="89">
        <f t="shared" ref="AZ144" si="210">AX144+AY144</f>
        <v>691.11500000000001</v>
      </c>
      <c r="BN144" s="55">
        <v>1</v>
      </c>
      <c r="BO144" s="97">
        <f t="shared" si="207"/>
        <v>691.11500000000001</v>
      </c>
      <c r="BQ144" s="57">
        <f t="shared" si="191"/>
        <v>1</v>
      </c>
      <c r="BR144" s="50">
        <f t="shared" si="177"/>
        <v>691.11500000000001</v>
      </c>
      <c r="BS144" s="39" t="str">
        <f t="shared" si="202"/>
        <v>OK</v>
      </c>
    </row>
    <row r="145" spans="1:71" outlineLevel="1" x14ac:dyDescent="0.25">
      <c r="A145" s="8" t="s">
        <v>6</v>
      </c>
      <c r="B145" s="8" t="s">
        <v>355</v>
      </c>
      <c r="C145" s="8" t="s">
        <v>8</v>
      </c>
      <c r="D145" s="9" t="s">
        <v>239</v>
      </c>
      <c r="E145" s="59" t="s">
        <v>149</v>
      </c>
      <c r="F145" s="59">
        <v>12</v>
      </c>
      <c r="G145" s="71" t="e">
        <f>COTACOES!#REF!</f>
        <v>#REF!</v>
      </c>
      <c r="H145" s="53">
        <v>0</v>
      </c>
      <c r="I145" s="53" t="e">
        <f t="shared" si="178"/>
        <v>#REF!</v>
      </c>
      <c r="J145" s="53" t="e">
        <f t="shared" si="179"/>
        <v>#REF!</v>
      </c>
      <c r="K145" s="58">
        <v>0.27760000000000001</v>
      </c>
      <c r="L145" s="53" t="e">
        <f t="shared" si="208"/>
        <v>#REF!</v>
      </c>
      <c r="M145" s="53">
        <f t="shared" si="208"/>
        <v>0</v>
      </c>
      <c r="N145" s="53" t="e">
        <f t="shared" si="181"/>
        <v>#REF!</v>
      </c>
      <c r="Z145" s="55">
        <v>0.75</v>
      </c>
      <c r="AA145" s="56" t="e">
        <f t="shared" ref="AA145:AC150" si="211">Z145*$N145</f>
        <v>#REF!</v>
      </c>
      <c r="AB145" s="55">
        <v>0.25</v>
      </c>
      <c r="AC145" s="56" t="e">
        <f t="shared" si="211"/>
        <v>#REF!</v>
      </c>
      <c r="AE145" s="57">
        <f t="shared" si="182"/>
        <v>1</v>
      </c>
      <c r="AF145" s="50" t="e">
        <f t="shared" si="174"/>
        <v>#REF!</v>
      </c>
      <c r="AG145" s="39" t="e">
        <f t="shared" si="175"/>
        <v>#REF!</v>
      </c>
      <c r="AJ145" s="8" t="s">
        <v>6</v>
      </c>
      <c r="AK145" s="8" t="s">
        <v>355</v>
      </c>
      <c r="AL145" s="8" t="s">
        <v>8</v>
      </c>
      <c r="AM145" s="9" t="s">
        <v>239</v>
      </c>
      <c r="AN145" s="59" t="s">
        <v>149</v>
      </c>
      <c r="AO145" s="85">
        <v>12</v>
      </c>
      <c r="AP145" s="59"/>
      <c r="AQ145" s="59">
        <f t="shared" si="183"/>
        <v>0</v>
      </c>
      <c r="AR145" s="59">
        <f t="shared" si="184"/>
        <v>94.895632345202586</v>
      </c>
      <c r="AS145" s="59">
        <f t="shared" si="185"/>
        <v>94.895632345202586</v>
      </c>
      <c r="AT145" s="88">
        <v>0.14019999999999999</v>
      </c>
      <c r="AU145" s="59">
        <v>0</v>
      </c>
      <c r="AV145" s="59">
        <v>108.2</v>
      </c>
      <c r="AW145" s="52">
        <f t="shared" si="186"/>
        <v>108.2</v>
      </c>
      <c r="AX145" s="53">
        <f t="shared" si="187"/>
        <v>0</v>
      </c>
      <c r="AY145" s="53">
        <f t="shared" si="188"/>
        <v>1298.4000000000001</v>
      </c>
      <c r="AZ145" s="53">
        <f t="shared" si="189"/>
        <v>1298.4000000000001</v>
      </c>
      <c r="BL145" s="55">
        <v>0.5</v>
      </c>
      <c r="BM145" s="97">
        <f t="shared" ref="BM145" si="212">BL145*$AZ145</f>
        <v>649.20000000000005</v>
      </c>
      <c r="BN145" s="55">
        <v>0.5</v>
      </c>
      <c r="BO145" s="97">
        <f t="shared" ref="BO145" si="213">BN145*$AZ145</f>
        <v>649.20000000000005</v>
      </c>
      <c r="BQ145" s="57">
        <f t="shared" si="191"/>
        <v>1</v>
      </c>
      <c r="BR145" s="50">
        <f t="shared" si="177"/>
        <v>1298.4000000000001</v>
      </c>
      <c r="BS145" s="39" t="str">
        <f t="shared" si="202"/>
        <v>OK</v>
      </c>
    </row>
    <row r="146" spans="1:71" ht="30" outlineLevel="1" x14ac:dyDescent="0.25">
      <c r="A146" s="8" t="s">
        <v>24</v>
      </c>
      <c r="B146" s="8" t="s">
        <v>356</v>
      </c>
      <c r="C146" s="8" t="s">
        <v>299</v>
      </c>
      <c r="D146" s="9" t="s">
        <v>219</v>
      </c>
      <c r="E146" s="59" t="s">
        <v>156</v>
      </c>
      <c r="F146" s="59">
        <v>1.28</v>
      </c>
      <c r="G146" s="53">
        <f>62.1+0.15</f>
        <v>62.25</v>
      </c>
      <c r="H146" s="53">
        <v>31.34</v>
      </c>
      <c r="I146" s="53">
        <f t="shared" si="178"/>
        <v>93.59</v>
      </c>
      <c r="J146" s="53">
        <f t="shared" si="179"/>
        <v>119.79</v>
      </c>
      <c r="K146" s="58">
        <v>0.27760000000000001</v>
      </c>
      <c r="L146" s="53">
        <f t="shared" si="208"/>
        <v>101.79</v>
      </c>
      <c r="M146" s="53">
        <f t="shared" si="208"/>
        <v>51.25</v>
      </c>
      <c r="N146" s="53">
        <f t="shared" si="181"/>
        <v>153.04000000000002</v>
      </c>
      <c r="Z146" s="55">
        <v>1</v>
      </c>
      <c r="AA146" s="56">
        <f t="shared" si="211"/>
        <v>153.04000000000002</v>
      </c>
      <c r="AE146" s="57">
        <f t="shared" si="182"/>
        <v>1</v>
      </c>
      <c r="AF146" s="50">
        <f t="shared" si="174"/>
        <v>153.04000000000002</v>
      </c>
      <c r="AG146" s="39" t="str">
        <f t="shared" si="175"/>
        <v>OK</v>
      </c>
      <c r="AJ146" s="8" t="s">
        <v>24</v>
      </c>
      <c r="AK146" s="8" t="s">
        <v>356</v>
      </c>
      <c r="AL146" s="8" t="s">
        <v>299</v>
      </c>
      <c r="AM146" s="9" t="s">
        <v>219</v>
      </c>
      <c r="AN146" s="59" t="s">
        <v>156</v>
      </c>
      <c r="AO146" s="85">
        <v>1.28</v>
      </c>
      <c r="AP146" s="59"/>
      <c r="AQ146" s="59">
        <f t="shared" si="183"/>
        <v>37.353095948079286</v>
      </c>
      <c r="AR146" s="59">
        <f t="shared" si="184"/>
        <v>67.74250131555867</v>
      </c>
      <c r="AS146" s="59">
        <f t="shared" si="185"/>
        <v>105.09559726363794</v>
      </c>
      <c r="AT146" s="88">
        <v>0.14019999999999999</v>
      </c>
      <c r="AU146" s="59">
        <v>42.59</v>
      </c>
      <c r="AV146" s="59">
        <v>77.239999999999995</v>
      </c>
      <c r="AW146" s="52">
        <f t="shared" si="186"/>
        <v>119.83</v>
      </c>
      <c r="AX146" s="53">
        <f t="shared" si="187"/>
        <v>54.515200000000007</v>
      </c>
      <c r="AY146" s="53">
        <f t="shared" si="188"/>
        <v>98.867199999999997</v>
      </c>
      <c r="AZ146" s="53">
        <f t="shared" si="189"/>
        <v>153.38239999999999</v>
      </c>
      <c r="BL146" s="55">
        <v>0.5</v>
      </c>
      <c r="BM146" s="97">
        <f t="shared" ref="BM146:BM150" si="214">BL146*$AZ146</f>
        <v>76.691199999999995</v>
      </c>
      <c r="BN146" s="55">
        <v>0.5</v>
      </c>
      <c r="BO146" s="97">
        <f t="shared" ref="BO146:BO150" si="215">BN146*$AZ146</f>
        <v>76.691199999999995</v>
      </c>
      <c r="BQ146" s="57">
        <f t="shared" si="191"/>
        <v>1</v>
      </c>
      <c r="BR146" s="50">
        <f t="shared" si="177"/>
        <v>153.38239999999999</v>
      </c>
      <c r="BS146" s="39" t="str">
        <f t="shared" si="202"/>
        <v>OK</v>
      </c>
    </row>
    <row r="147" spans="1:71" ht="30" outlineLevel="1" x14ac:dyDescent="0.25">
      <c r="A147" s="8" t="s">
        <v>24</v>
      </c>
      <c r="B147" s="8" t="s">
        <v>357</v>
      </c>
      <c r="C147" s="8" t="s">
        <v>300</v>
      </c>
      <c r="D147" s="9" t="s">
        <v>160</v>
      </c>
      <c r="E147" s="59" t="s">
        <v>81</v>
      </c>
      <c r="F147" s="59">
        <v>66.36</v>
      </c>
      <c r="G147" s="53">
        <v>8.14</v>
      </c>
      <c r="H147" s="53">
        <v>2.02</v>
      </c>
      <c r="I147" s="53">
        <f t="shared" si="178"/>
        <v>10.16</v>
      </c>
      <c r="J147" s="53">
        <f t="shared" si="179"/>
        <v>674.21</v>
      </c>
      <c r="K147" s="58">
        <v>0.27760000000000001</v>
      </c>
      <c r="L147" s="53">
        <f t="shared" si="208"/>
        <v>690.12</v>
      </c>
      <c r="M147" s="53">
        <f t="shared" si="208"/>
        <v>171.25</v>
      </c>
      <c r="N147" s="53">
        <f t="shared" si="181"/>
        <v>861.37</v>
      </c>
      <c r="Z147" s="55">
        <v>1</v>
      </c>
      <c r="AA147" s="56">
        <f t="shared" si="211"/>
        <v>861.37</v>
      </c>
      <c r="AE147" s="57">
        <f t="shared" si="182"/>
        <v>1</v>
      </c>
      <c r="AF147" s="50">
        <f t="shared" si="174"/>
        <v>861.37</v>
      </c>
      <c r="AG147" s="39" t="str">
        <f t="shared" si="175"/>
        <v>OK</v>
      </c>
      <c r="AJ147" s="8" t="s">
        <v>24</v>
      </c>
      <c r="AK147" s="8" t="s">
        <v>357</v>
      </c>
      <c r="AL147" s="8" t="s">
        <v>300</v>
      </c>
      <c r="AM147" s="9" t="s">
        <v>160</v>
      </c>
      <c r="AN147" s="59" t="s">
        <v>81</v>
      </c>
      <c r="AO147" s="85">
        <v>66.36</v>
      </c>
      <c r="AP147" s="59"/>
      <c r="AQ147" s="59">
        <f t="shared" si="183"/>
        <v>2.4469391334853534</v>
      </c>
      <c r="AR147" s="59">
        <f t="shared" si="184"/>
        <v>8.2792492545167509</v>
      </c>
      <c r="AS147" s="59">
        <f t="shared" si="185"/>
        <v>10.726188388002104</v>
      </c>
      <c r="AT147" s="88">
        <v>0.14019999999999999</v>
      </c>
      <c r="AU147" s="59">
        <v>2.79</v>
      </c>
      <c r="AV147" s="59">
        <v>9.44</v>
      </c>
      <c r="AW147" s="52">
        <f t="shared" si="186"/>
        <v>12.23</v>
      </c>
      <c r="AX147" s="53">
        <f t="shared" si="187"/>
        <v>185.14439999999999</v>
      </c>
      <c r="AY147" s="53">
        <f t="shared" si="188"/>
        <v>626.4384</v>
      </c>
      <c r="AZ147" s="53">
        <f t="shared" si="189"/>
        <v>811.58280000000002</v>
      </c>
      <c r="BL147" s="55">
        <v>0.5</v>
      </c>
      <c r="BM147" s="97">
        <f t="shared" si="214"/>
        <v>405.79140000000001</v>
      </c>
      <c r="BN147" s="55">
        <v>0.5</v>
      </c>
      <c r="BO147" s="97">
        <f t="shared" si="215"/>
        <v>405.79140000000001</v>
      </c>
      <c r="BQ147" s="57">
        <f t="shared" si="191"/>
        <v>1</v>
      </c>
      <c r="BR147" s="50">
        <f t="shared" si="177"/>
        <v>811.58280000000002</v>
      </c>
      <c r="BS147" s="39" t="str">
        <f t="shared" si="202"/>
        <v>OK</v>
      </c>
    </row>
    <row r="148" spans="1:71" ht="45" outlineLevel="1" x14ac:dyDescent="0.25">
      <c r="A148" s="8" t="s">
        <v>24</v>
      </c>
      <c r="B148" s="8" t="s">
        <v>358</v>
      </c>
      <c r="C148" s="8" t="s">
        <v>294</v>
      </c>
      <c r="D148" s="9" t="s">
        <v>153</v>
      </c>
      <c r="E148" s="59" t="s">
        <v>81</v>
      </c>
      <c r="F148" s="59">
        <v>9.48</v>
      </c>
      <c r="G148" s="53">
        <v>8.1199999999999992</v>
      </c>
      <c r="H148" s="53">
        <v>2.04</v>
      </c>
      <c r="I148" s="53">
        <f t="shared" si="178"/>
        <v>10.16</v>
      </c>
      <c r="J148" s="53">
        <f t="shared" si="179"/>
        <v>96.31</v>
      </c>
      <c r="K148" s="58">
        <v>0.27760000000000001</v>
      </c>
      <c r="L148" s="53">
        <f t="shared" si="208"/>
        <v>98.34</v>
      </c>
      <c r="M148" s="53">
        <f t="shared" si="208"/>
        <v>24.7</v>
      </c>
      <c r="N148" s="53">
        <f t="shared" si="181"/>
        <v>123.04</v>
      </c>
      <c r="Z148" s="55">
        <v>1</v>
      </c>
      <c r="AA148" s="56">
        <f t="shared" si="211"/>
        <v>123.04</v>
      </c>
      <c r="AE148" s="57">
        <f t="shared" si="182"/>
        <v>1</v>
      </c>
      <c r="AF148" s="50">
        <f t="shared" si="174"/>
        <v>123.04</v>
      </c>
      <c r="AG148" s="39" t="str">
        <f t="shared" si="175"/>
        <v>OK</v>
      </c>
      <c r="AJ148" s="8" t="s">
        <v>24</v>
      </c>
      <c r="AK148" s="8" t="s">
        <v>358</v>
      </c>
      <c r="AL148" s="8" t="s">
        <v>294</v>
      </c>
      <c r="AM148" s="9" t="s">
        <v>153</v>
      </c>
      <c r="AN148" s="59" t="s">
        <v>81</v>
      </c>
      <c r="AO148" s="85">
        <v>9.48</v>
      </c>
      <c r="AP148" s="59"/>
      <c r="AQ148" s="59">
        <f t="shared" si="183"/>
        <v>2.4557095246447989</v>
      </c>
      <c r="AR148" s="59">
        <f t="shared" si="184"/>
        <v>8.2529380810384136</v>
      </c>
      <c r="AS148" s="59">
        <f t="shared" si="185"/>
        <v>10.708647605683213</v>
      </c>
      <c r="AT148" s="88">
        <v>0.14019999999999999</v>
      </c>
      <c r="AU148" s="59">
        <v>2.8</v>
      </c>
      <c r="AV148" s="59">
        <v>9.41</v>
      </c>
      <c r="AW148" s="52">
        <f t="shared" si="186"/>
        <v>12.21</v>
      </c>
      <c r="AX148" s="53">
        <f t="shared" si="187"/>
        <v>26.544</v>
      </c>
      <c r="AY148" s="53">
        <f t="shared" si="188"/>
        <v>89.206800000000001</v>
      </c>
      <c r="AZ148" s="53">
        <f t="shared" si="189"/>
        <v>115.75080000000001</v>
      </c>
      <c r="BL148" s="55">
        <v>0.5</v>
      </c>
      <c r="BM148" s="97">
        <f t="shared" si="214"/>
        <v>57.875400000000006</v>
      </c>
      <c r="BN148" s="55">
        <v>0.5</v>
      </c>
      <c r="BO148" s="97">
        <f t="shared" si="215"/>
        <v>57.875400000000006</v>
      </c>
      <c r="BQ148" s="57">
        <f t="shared" si="191"/>
        <v>1</v>
      </c>
      <c r="BR148" s="50">
        <f t="shared" si="177"/>
        <v>115.75080000000001</v>
      </c>
      <c r="BS148" s="39" t="str">
        <f t="shared" si="202"/>
        <v>OK</v>
      </c>
    </row>
    <row r="149" spans="1:71" ht="45" outlineLevel="1" x14ac:dyDescent="0.25">
      <c r="A149" s="8" t="s">
        <v>24</v>
      </c>
      <c r="B149" s="8" t="s">
        <v>359</v>
      </c>
      <c r="C149" s="8" t="s">
        <v>295</v>
      </c>
      <c r="D149" s="9" t="s">
        <v>154</v>
      </c>
      <c r="E149" s="59" t="s">
        <v>151</v>
      </c>
      <c r="F149" s="59">
        <f>0.15*0.15*2.5*2</f>
        <v>0.11249999999999999</v>
      </c>
      <c r="G149" s="53">
        <f>0.64+334.18+0.62</f>
        <v>335.44</v>
      </c>
      <c r="H149" s="53">
        <v>96.3</v>
      </c>
      <c r="I149" s="53">
        <f t="shared" si="178"/>
        <v>431.74</v>
      </c>
      <c r="J149" s="53">
        <f t="shared" si="179"/>
        <v>48.57</v>
      </c>
      <c r="K149" s="58">
        <v>0.27760000000000001</v>
      </c>
      <c r="L149" s="53">
        <f t="shared" si="208"/>
        <v>48.21</v>
      </c>
      <c r="M149" s="53">
        <f t="shared" si="208"/>
        <v>13.84</v>
      </c>
      <c r="N149" s="53">
        <f t="shared" si="181"/>
        <v>62.05</v>
      </c>
      <c r="Z149" s="55">
        <v>1</v>
      </c>
      <c r="AA149" s="56">
        <f t="shared" si="211"/>
        <v>62.05</v>
      </c>
      <c r="AE149" s="57">
        <f t="shared" si="182"/>
        <v>1</v>
      </c>
      <c r="AF149" s="50">
        <f t="shared" si="174"/>
        <v>62.05</v>
      </c>
      <c r="AG149" s="39" t="str">
        <f t="shared" si="175"/>
        <v>OK</v>
      </c>
      <c r="AJ149" s="8" t="s">
        <v>24</v>
      </c>
      <c r="AK149" s="8" t="s">
        <v>359</v>
      </c>
      <c r="AL149" s="8" t="s">
        <v>295</v>
      </c>
      <c r="AM149" s="9" t="s">
        <v>154</v>
      </c>
      <c r="AN149" s="59" t="s">
        <v>151</v>
      </c>
      <c r="AO149" s="85">
        <v>0.11</v>
      </c>
      <c r="AP149" s="59"/>
      <c r="AQ149" s="59">
        <f t="shared" si="183"/>
        <v>116.65497281178739</v>
      </c>
      <c r="AR149" s="59">
        <f t="shared" si="184"/>
        <v>345.3429222943343</v>
      </c>
      <c r="AS149" s="59">
        <f t="shared" si="185"/>
        <v>461.99789510612169</v>
      </c>
      <c r="AT149" s="88">
        <v>0.14019999999999999</v>
      </c>
      <c r="AU149" s="59">
        <v>133.01</v>
      </c>
      <c r="AV149" s="59">
        <v>393.76</v>
      </c>
      <c r="AW149" s="52">
        <f t="shared" si="186"/>
        <v>526.77</v>
      </c>
      <c r="AX149" s="53">
        <f t="shared" si="187"/>
        <v>14.631099999999998</v>
      </c>
      <c r="AY149" s="53">
        <f t="shared" si="188"/>
        <v>43.313600000000001</v>
      </c>
      <c r="AZ149" s="53">
        <f t="shared" si="189"/>
        <v>57.944699999999997</v>
      </c>
      <c r="BL149" s="55">
        <v>0.5</v>
      </c>
      <c r="BM149" s="97">
        <f t="shared" si="214"/>
        <v>28.972349999999999</v>
      </c>
      <c r="BN149" s="55">
        <v>0.5</v>
      </c>
      <c r="BO149" s="97">
        <f t="shared" si="215"/>
        <v>28.972349999999999</v>
      </c>
      <c r="BQ149" s="57">
        <f t="shared" si="191"/>
        <v>1</v>
      </c>
      <c r="BR149" s="50">
        <f t="shared" si="177"/>
        <v>57.944699999999997</v>
      </c>
      <c r="BS149" s="39" t="str">
        <f t="shared" si="202"/>
        <v>OK</v>
      </c>
    </row>
    <row r="150" spans="1:71" ht="30" outlineLevel="1" x14ac:dyDescent="0.25">
      <c r="A150" s="8" t="s">
        <v>24</v>
      </c>
      <c r="B150" s="8" t="s">
        <v>360</v>
      </c>
      <c r="C150" s="8" t="s">
        <v>301</v>
      </c>
      <c r="D150" s="9" t="s">
        <v>220</v>
      </c>
      <c r="E150" s="59" t="s">
        <v>151</v>
      </c>
      <c r="F150" s="59">
        <f>0.4*0.4*0.4*2</f>
        <v>0.12800000000000003</v>
      </c>
      <c r="G150" s="53">
        <f>2.34+330.04+1.65</f>
        <v>334.03</v>
      </c>
      <c r="H150" s="53">
        <v>93.52</v>
      </c>
      <c r="I150" s="53">
        <f t="shared" si="178"/>
        <v>427.54999999999995</v>
      </c>
      <c r="J150" s="53">
        <f t="shared" si="179"/>
        <v>54.72</v>
      </c>
      <c r="K150" s="58">
        <v>0.27760000000000001</v>
      </c>
      <c r="L150" s="53">
        <f t="shared" si="208"/>
        <v>54.62</v>
      </c>
      <c r="M150" s="53">
        <f t="shared" si="208"/>
        <v>15.29</v>
      </c>
      <c r="N150" s="53">
        <f t="shared" si="181"/>
        <v>69.91</v>
      </c>
      <c r="Z150" s="55">
        <v>1</v>
      </c>
      <c r="AA150" s="56">
        <f t="shared" si="211"/>
        <v>69.91</v>
      </c>
      <c r="AE150" s="57">
        <f t="shared" si="182"/>
        <v>1</v>
      </c>
      <c r="AF150" s="50">
        <f t="shared" si="174"/>
        <v>69.91</v>
      </c>
      <c r="AG150" s="39" t="str">
        <f t="shared" si="175"/>
        <v>OK</v>
      </c>
      <c r="AJ150" s="8" t="s">
        <v>24</v>
      </c>
      <c r="AK150" s="8" t="s">
        <v>360</v>
      </c>
      <c r="AL150" s="8" t="s">
        <v>301</v>
      </c>
      <c r="AM150" s="9" t="s">
        <v>220</v>
      </c>
      <c r="AN150" s="59" t="s">
        <v>151</v>
      </c>
      <c r="AO150" s="85">
        <v>0.13</v>
      </c>
      <c r="AP150" s="59"/>
      <c r="AQ150" s="59">
        <f t="shared" si="183"/>
        <v>107.67409226451498</v>
      </c>
      <c r="AR150" s="59">
        <f t="shared" si="184"/>
        <v>327.64427293457283</v>
      </c>
      <c r="AS150" s="59">
        <f t="shared" si="185"/>
        <v>435.31836519908779</v>
      </c>
      <c r="AT150" s="88">
        <v>0.14019999999999999</v>
      </c>
      <c r="AU150" s="59">
        <v>122.77</v>
      </c>
      <c r="AV150" s="59">
        <v>373.58</v>
      </c>
      <c r="AW150" s="52">
        <f t="shared" si="186"/>
        <v>496.34999999999997</v>
      </c>
      <c r="AX150" s="53">
        <f t="shared" si="187"/>
        <v>15.960100000000001</v>
      </c>
      <c r="AY150" s="53">
        <f>$AO150*AV150-0.01</f>
        <v>48.555399999999999</v>
      </c>
      <c r="AZ150" s="89">
        <f t="shared" ref="AZ150" si="216">AX150+AY150</f>
        <v>64.515500000000003</v>
      </c>
      <c r="BL150" s="55">
        <v>0.5</v>
      </c>
      <c r="BM150" s="97">
        <f t="shared" si="214"/>
        <v>32.257750000000001</v>
      </c>
      <c r="BN150" s="55">
        <v>0.5</v>
      </c>
      <c r="BO150" s="97">
        <f t="shared" si="215"/>
        <v>32.257750000000001</v>
      </c>
      <c r="BQ150" s="57">
        <f t="shared" si="191"/>
        <v>1</v>
      </c>
      <c r="BR150" s="50">
        <f t="shared" si="177"/>
        <v>64.515500000000003</v>
      </c>
      <c r="BS150" s="39" t="str">
        <f t="shared" si="202"/>
        <v>OK</v>
      </c>
    </row>
    <row r="151" spans="1:71" ht="30" outlineLevel="1" x14ac:dyDescent="0.25">
      <c r="A151" s="8" t="s">
        <v>24</v>
      </c>
      <c r="B151" s="8" t="s">
        <v>361</v>
      </c>
      <c r="C151" s="8" t="s">
        <v>309</v>
      </c>
      <c r="D151" s="9" t="s">
        <v>170</v>
      </c>
      <c r="E151" s="59" t="s">
        <v>17</v>
      </c>
      <c r="F151" s="59">
        <v>50</v>
      </c>
      <c r="G151" s="53">
        <v>4.66</v>
      </c>
      <c r="H151" s="53">
        <v>2.69</v>
      </c>
      <c r="I151" s="53">
        <f t="shared" si="178"/>
        <v>7.35</v>
      </c>
      <c r="J151" s="53">
        <f t="shared" si="179"/>
        <v>367.5</v>
      </c>
      <c r="K151" s="58">
        <v>0.27760000000000001</v>
      </c>
      <c r="L151" s="53">
        <f t="shared" si="208"/>
        <v>297.68</v>
      </c>
      <c r="M151" s="53">
        <f t="shared" si="208"/>
        <v>171.83</v>
      </c>
      <c r="N151" s="53">
        <f t="shared" si="181"/>
        <v>469.51</v>
      </c>
      <c r="AB151" s="55">
        <v>1</v>
      </c>
      <c r="AC151" s="56">
        <f t="shared" ref="AC151:AC156" si="217">AB151*$N151</f>
        <v>469.51</v>
      </c>
      <c r="AE151" s="57">
        <f t="shared" si="182"/>
        <v>1</v>
      </c>
      <c r="AF151" s="50">
        <f t="shared" si="174"/>
        <v>469.51</v>
      </c>
      <c r="AG151" s="39" t="str">
        <f t="shared" si="175"/>
        <v>OK</v>
      </c>
      <c r="AJ151" s="8" t="s">
        <v>24</v>
      </c>
      <c r="AK151" s="8" t="s">
        <v>361</v>
      </c>
      <c r="AL151" s="8" t="s">
        <v>309</v>
      </c>
      <c r="AM151" s="9" t="s">
        <v>170</v>
      </c>
      <c r="AN151" s="59" t="s">
        <v>17</v>
      </c>
      <c r="AO151" s="85">
        <v>50</v>
      </c>
      <c r="AP151" s="59"/>
      <c r="AQ151" s="59">
        <f t="shared" si="183"/>
        <v>3.2187335555165757</v>
      </c>
      <c r="AR151" s="59">
        <f t="shared" si="184"/>
        <v>4.8500263111734778</v>
      </c>
      <c r="AS151" s="59">
        <f t="shared" si="185"/>
        <v>8.0687598666900531</v>
      </c>
      <c r="AT151" s="88">
        <v>0.14019999999999999</v>
      </c>
      <c r="AU151" s="59">
        <v>3.67</v>
      </c>
      <c r="AV151" s="59">
        <v>5.53</v>
      </c>
      <c r="AW151" s="52">
        <f t="shared" si="186"/>
        <v>9.1999999999999993</v>
      </c>
      <c r="AX151" s="53">
        <f t="shared" si="187"/>
        <v>183.5</v>
      </c>
      <c r="AY151" s="53">
        <f t="shared" si="188"/>
        <v>276.5</v>
      </c>
      <c r="AZ151" s="53">
        <f t="shared" si="189"/>
        <v>459.99999999999994</v>
      </c>
      <c r="BN151" s="55">
        <v>1</v>
      </c>
      <c r="BO151" s="97">
        <f t="shared" ref="BO151" si="218">BN151*$AZ151</f>
        <v>459.99999999999994</v>
      </c>
      <c r="BQ151" s="57">
        <f t="shared" si="191"/>
        <v>1</v>
      </c>
      <c r="BR151" s="50">
        <f t="shared" si="177"/>
        <v>459.99999999999994</v>
      </c>
      <c r="BS151" s="39" t="str">
        <f t="shared" si="202"/>
        <v>OK</v>
      </c>
    </row>
    <row r="152" spans="1:71" ht="30" outlineLevel="1" x14ac:dyDescent="0.25">
      <c r="A152" s="8" t="s">
        <v>24</v>
      </c>
      <c r="B152" s="8" t="s">
        <v>362</v>
      </c>
      <c r="C152" s="8" t="s">
        <v>310</v>
      </c>
      <c r="D152" s="9" t="s">
        <v>171</v>
      </c>
      <c r="E152" s="59" t="s">
        <v>17</v>
      </c>
      <c r="F152" s="59">
        <v>100</v>
      </c>
      <c r="G152" s="53">
        <v>1.61</v>
      </c>
      <c r="H152" s="53">
        <v>0.63</v>
      </c>
      <c r="I152" s="53">
        <f t="shared" si="178"/>
        <v>2.2400000000000002</v>
      </c>
      <c r="J152" s="53">
        <f t="shared" si="179"/>
        <v>224</v>
      </c>
      <c r="K152" s="58">
        <v>0.27760000000000001</v>
      </c>
      <c r="L152" s="53">
        <f t="shared" si="208"/>
        <v>205.69</v>
      </c>
      <c r="M152" s="53">
        <f t="shared" si="208"/>
        <v>80.48</v>
      </c>
      <c r="N152" s="53">
        <f t="shared" si="181"/>
        <v>286.17</v>
      </c>
      <c r="AB152" s="55">
        <v>1</v>
      </c>
      <c r="AC152" s="56">
        <f t="shared" si="217"/>
        <v>286.17</v>
      </c>
      <c r="AE152" s="57">
        <f t="shared" si="182"/>
        <v>1</v>
      </c>
      <c r="AF152" s="50">
        <f t="shared" si="174"/>
        <v>286.17</v>
      </c>
      <c r="AG152" s="39" t="str">
        <f t="shared" si="175"/>
        <v>OK</v>
      </c>
      <c r="AJ152" s="8" t="s">
        <v>24</v>
      </c>
      <c r="AK152" s="8" t="s">
        <v>362</v>
      </c>
      <c r="AL152" s="8" t="s">
        <v>310</v>
      </c>
      <c r="AM152" s="9" t="s">
        <v>171</v>
      </c>
      <c r="AN152" s="59" t="s">
        <v>17</v>
      </c>
      <c r="AO152" s="85">
        <v>100</v>
      </c>
      <c r="AP152" s="59"/>
      <c r="AQ152" s="59">
        <f t="shared" si="183"/>
        <v>0.75425363971233106</v>
      </c>
      <c r="AR152" s="59">
        <f t="shared" si="184"/>
        <v>1.5085072794246621</v>
      </c>
      <c r="AS152" s="59">
        <f t="shared" si="185"/>
        <v>2.2627609191369933</v>
      </c>
      <c r="AT152" s="88">
        <v>0.14019999999999999</v>
      </c>
      <c r="AU152" s="59">
        <v>0.86</v>
      </c>
      <c r="AV152" s="59">
        <v>1.72</v>
      </c>
      <c r="AW152" s="52">
        <f t="shared" si="186"/>
        <v>2.58</v>
      </c>
      <c r="AX152" s="53">
        <f t="shared" si="187"/>
        <v>86</v>
      </c>
      <c r="AY152" s="53">
        <f t="shared" si="188"/>
        <v>172</v>
      </c>
      <c r="AZ152" s="53">
        <f t="shared" si="189"/>
        <v>258</v>
      </c>
      <c r="BN152" s="55">
        <v>1</v>
      </c>
      <c r="BO152" s="97">
        <f t="shared" ref="BO152" si="219">BN152*$AZ152</f>
        <v>258</v>
      </c>
      <c r="BQ152" s="57">
        <f t="shared" si="191"/>
        <v>1</v>
      </c>
      <c r="BR152" s="50">
        <f t="shared" si="177"/>
        <v>258</v>
      </c>
      <c r="BS152" s="39" t="str">
        <f t="shared" si="202"/>
        <v>OK</v>
      </c>
    </row>
    <row r="153" spans="1:71" ht="30" outlineLevel="1" x14ac:dyDescent="0.25">
      <c r="A153" s="8" t="s">
        <v>24</v>
      </c>
      <c r="B153" s="8" t="s">
        <v>363</v>
      </c>
      <c r="C153" s="8" t="s">
        <v>307</v>
      </c>
      <c r="D153" s="9" t="s">
        <v>168</v>
      </c>
      <c r="E153" s="59" t="s">
        <v>149</v>
      </c>
      <c r="F153" s="59">
        <v>1</v>
      </c>
      <c r="G153" s="53">
        <v>22.94</v>
      </c>
      <c r="H153" s="53">
        <v>11.58</v>
      </c>
      <c r="I153" s="53">
        <f t="shared" si="178"/>
        <v>34.520000000000003</v>
      </c>
      <c r="J153" s="53">
        <f t="shared" si="179"/>
        <v>34.520000000000003</v>
      </c>
      <c r="K153" s="58">
        <v>0.27760000000000001</v>
      </c>
      <c r="L153" s="53">
        <f t="shared" si="208"/>
        <v>29.3</v>
      </c>
      <c r="M153" s="53">
        <f t="shared" si="208"/>
        <v>14.79</v>
      </c>
      <c r="N153" s="53">
        <f t="shared" si="181"/>
        <v>44.09</v>
      </c>
      <c r="AB153" s="55">
        <v>1</v>
      </c>
      <c r="AC153" s="56">
        <f t="shared" si="217"/>
        <v>44.09</v>
      </c>
      <c r="AE153" s="57">
        <f t="shared" si="182"/>
        <v>1</v>
      </c>
      <c r="AF153" s="50">
        <f t="shared" si="174"/>
        <v>44.09</v>
      </c>
      <c r="AG153" s="39" t="str">
        <f t="shared" si="175"/>
        <v>OK</v>
      </c>
      <c r="AJ153" s="8" t="s">
        <v>24</v>
      </c>
      <c r="AK153" s="8" t="s">
        <v>363</v>
      </c>
      <c r="AL153" s="8" t="s">
        <v>307</v>
      </c>
      <c r="AM153" s="9" t="s">
        <v>168</v>
      </c>
      <c r="AN153" s="59" t="s">
        <v>149</v>
      </c>
      <c r="AO153" s="85">
        <v>1</v>
      </c>
      <c r="AP153" s="59"/>
      <c r="AQ153" s="59">
        <f t="shared" si="183"/>
        <v>13.988773899315907</v>
      </c>
      <c r="AR153" s="59">
        <f t="shared" si="184"/>
        <v>20.601648833537972</v>
      </c>
      <c r="AS153" s="59">
        <f t="shared" si="185"/>
        <v>34.590422732853881</v>
      </c>
      <c r="AT153" s="88">
        <v>0.14019999999999999</v>
      </c>
      <c r="AU153" s="59">
        <v>15.95</v>
      </c>
      <c r="AV153" s="59">
        <v>23.49</v>
      </c>
      <c r="AW153" s="52">
        <f t="shared" si="186"/>
        <v>39.44</v>
      </c>
      <c r="AX153" s="53">
        <f t="shared" si="187"/>
        <v>15.95</v>
      </c>
      <c r="AY153" s="53">
        <f t="shared" si="188"/>
        <v>23.49</v>
      </c>
      <c r="AZ153" s="53">
        <f t="shared" si="189"/>
        <v>39.44</v>
      </c>
      <c r="BN153" s="55">
        <v>1</v>
      </c>
      <c r="BO153" s="97">
        <f t="shared" ref="BO153" si="220">BN153*$AZ153</f>
        <v>39.44</v>
      </c>
      <c r="BQ153" s="57">
        <f t="shared" si="191"/>
        <v>1</v>
      </c>
      <c r="BR153" s="50">
        <f t="shared" si="177"/>
        <v>39.44</v>
      </c>
      <c r="BS153" s="39" t="str">
        <f t="shared" si="202"/>
        <v>OK</v>
      </c>
    </row>
    <row r="154" spans="1:71" ht="30" outlineLevel="1" x14ac:dyDescent="0.25">
      <c r="A154" s="8" t="s">
        <v>24</v>
      </c>
      <c r="B154" s="8" t="s">
        <v>364</v>
      </c>
      <c r="C154" s="8" t="s">
        <v>308</v>
      </c>
      <c r="D154" s="9" t="s">
        <v>221</v>
      </c>
      <c r="E154" s="59" t="s">
        <v>149</v>
      </c>
      <c r="F154" s="59">
        <v>5</v>
      </c>
      <c r="G154" s="53">
        <v>69.45</v>
      </c>
      <c r="H154" s="53">
        <v>7.58</v>
      </c>
      <c r="I154" s="53">
        <f t="shared" si="178"/>
        <v>77.03</v>
      </c>
      <c r="J154" s="53">
        <f t="shared" si="179"/>
        <v>385.15</v>
      </c>
      <c r="K154" s="58">
        <v>0.27760000000000001</v>
      </c>
      <c r="L154" s="53">
        <f t="shared" si="208"/>
        <v>443.64</v>
      </c>
      <c r="M154" s="53">
        <f t="shared" si="208"/>
        <v>48.42</v>
      </c>
      <c r="N154" s="53">
        <f t="shared" si="181"/>
        <v>492.06</v>
      </c>
      <c r="AB154" s="55">
        <v>1</v>
      </c>
      <c r="AC154" s="56">
        <f t="shared" si="217"/>
        <v>492.06</v>
      </c>
      <c r="AE154" s="57">
        <f t="shared" si="182"/>
        <v>1</v>
      </c>
      <c r="AF154" s="50">
        <f t="shared" si="174"/>
        <v>492.06</v>
      </c>
      <c r="AG154" s="39" t="str">
        <f t="shared" si="175"/>
        <v>OK</v>
      </c>
      <c r="AJ154" s="8" t="s">
        <v>24</v>
      </c>
      <c r="AK154" s="8" t="s">
        <v>364</v>
      </c>
      <c r="AL154" s="8" t="s">
        <v>308</v>
      </c>
      <c r="AM154" s="9" t="s">
        <v>221</v>
      </c>
      <c r="AN154" s="59" t="s">
        <v>149</v>
      </c>
      <c r="AO154" s="85">
        <v>5</v>
      </c>
      <c r="AP154" s="59"/>
      <c r="AQ154" s="59">
        <f t="shared" si="183"/>
        <v>9.1825995439396593</v>
      </c>
      <c r="AR154" s="59">
        <f t="shared" si="184"/>
        <v>69.707068935274506</v>
      </c>
      <c r="AS154" s="59">
        <f t="shared" si="185"/>
        <v>78.889668479214166</v>
      </c>
      <c r="AT154" s="88">
        <v>0.14019999999999999</v>
      </c>
      <c r="AU154" s="59">
        <v>10.47</v>
      </c>
      <c r="AV154" s="59">
        <v>79.48</v>
      </c>
      <c r="AW154" s="52">
        <f t="shared" si="186"/>
        <v>89.95</v>
      </c>
      <c r="AX154" s="53">
        <f t="shared" si="187"/>
        <v>52.35</v>
      </c>
      <c r="AY154" s="53">
        <f t="shared" si="188"/>
        <v>397.40000000000003</v>
      </c>
      <c r="AZ154" s="53">
        <f t="shared" si="189"/>
        <v>449.75</v>
      </c>
      <c r="BN154" s="55">
        <v>1</v>
      </c>
      <c r="BO154" s="97">
        <f t="shared" ref="BO154" si="221">BN154*$AZ154</f>
        <v>449.75</v>
      </c>
      <c r="BQ154" s="57">
        <f t="shared" si="191"/>
        <v>1</v>
      </c>
      <c r="BR154" s="50">
        <f t="shared" si="177"/>
        <v>449.75</v>
      </c>
      <c r="BS154" s="39" t="str">
        <f t="shared" si="202"/>
        <v>OK</v>
      </c>
    </row>
    <row r="155" spans="1:71" outlineLevel="1" x14ac:dyDescent="0.25">
      <c r="A155" s="8" t="s">
        <v>24</v>
      </c>
      <c r="B155" s="8" t="s">
        <v>365</v>
      </c>
      <c r="C155" s="8" t="s">
        <v>326</v>
      </c>
      <c r="D155" s="9" t="s">
        <v>222</v>
      </c>
      <c r="E155" s="59" t="s">
        <v>156</v>
      </c>
      <c r="F155" s="59">
        <v>600</v>
      </c>
      <c r="G155" s="53">
        <f>0.38+0.01</f>
        <v>0.39</v>
      </c>
      <c r="H155" s="53">
        <v>0.83</v>
      </c>
      <c r="I155" s="53">
        <f t="shared" si="178"/>
        <v>1.22</v>
      </c>
      <c r="J155" s="53">
        <f t="shared" si="179"/>
        <v>732</v>
      </c>
      <c r="K155" s="58">
        <v>0.27760000000000001</v>
      </c>
      <c r="L155" s="53">
        <f t="shared" si="208"/>
        <v>298.95</v>
      </c>
      <c r="M155" s="53">
        <f t="shared" si="208"/>
        <v>636.24</v>
      </c>
      <c r="N155" s="53">
        <f t="shared" si="181"/>
        <v>935.19</v>
      </c>
      <c r="AB155" s="55">
        <v>1</v>
      </c>
      <c r="AC155" s="56">
        <f t="shared" si="217"/>
        <v>935.19</v>
      </c>
      <c r="AE155" s="57">
        <f t="shared" si="182"/>
        <v>1</v>
      </c>
      <c r="AF155" s="50">
        <f t="shared" si="174"/>
        <v>935.19</v>
      </c>
      <c r="AG155" s="39" t="str">
        <f t="shared" si="175"/>
        <v>OK</v>
      </c>
      <c r="AJ155" s="8" t="s">
        <v>24</v>
      </c>
      <c r="AK155" s="8" t="s">
        <v>365</v>
      </c>
      <c r="AL155" s="8" t="s">
        <v>326</v>
      </c>
      <c r="AM155" s="9" t="s">
        <v>222</v>
      </c>
      <c r="AN155" s="59" t="s">
        <v>156</v>
      </c>
      <c r="AO155" s="85">
        <v>600</v>
      </c>
      <c r="AP155" s="59"/>
      <c r="AQ155" s="59">
        <f t="shared" si="183"/>
        <v>0.98228380985791963</v>
      </c>
      <c r="AR155" s="59">
        <f t="shared" si="184"/>
        <v>0.42974916681283981</v>
      </c>
      <c r="AS155" s="59">
        <f t="shared" si="185"/>
        <v>1.4120329766707596</v>
      </c>
      <c r="AT155" s="88">
        <v>0.14019999999999999</v>
      </c>
      <c r="AU155" s="59">
        <v>1.1200000000000001</v>
      </c>
      <c r="AV155" s="59">
        <v>0.49</v>
      </c>
      <c r="AW155" s="52">
        <f t="shared" si="186"/>
        <v>1.61</v>
      </c>
      <c r="AX155" s="53">
        <f t="shared" si="187"/>
        <v>672.00000000000011</v>
      </c>
      <c r="AY155" s="53">
        <f t="shared" si="188"/>
        <v>294</v>
      </c>
      <c r="AZ155" s="53">
        <f t="shared" si="189"/>
        <v>966.00000000000011</v>
      </c>
      <c r="BN155" s="55">
        <v>1</v>
      </c>
      <c r="BO155" s="97">
        <f t="shared" ref="BO155" si="222">BN155*$AZ155</f>
        <v>966.00000000000011</v>
      </c>
      <c r="BQ155" s="57">
        <f t="shared" si="191"/>
        <v>1</v>
      </c>
      <c r="BR155" s="50">
        <f t="shared" si="177"/>
        <v>966.00000000000011</v>
      </c>
      <c r="BS155" s="39" t="str">
        <f t="shared" si="202"/>
        <v>OK</v>
      </c>
    </row>
    <row r="156" spans="1:71" outlineLevel="1" x14ac:dyDescent="0.25">
      <c r="A156" s="8" t="s">
        <v>24</v>
      </c>
      <c r="B156" s="8" t="s">
        <v>406</v>
      </c>
      <c r="C156" s="8" t="s">
        <v>407</v>
      </c>
      <c r="D156" s="9" t="s">
        <v>408</v>
      </c>
      <c r="E156" s="59" t="s">
        <v>149</v>
      </c>
      <c r="F156" s="59">
        <v>2</v>
      </c>
      <c r="G156" s="53" t="e">
        <f>'PCCU composicoes'!#REF!</f>
        <v>#REF!</v>
      </c>
      <c r="H156" s="53" t="e">
        <f>'PCCU composicoes'!#REF!</f>
        <v>#REF!</v>
      </c>
      <c r="I156" s="53" t="e">
        <f t="shared" si="178"/>
        <v>#REF!</v>
      </c>
      <c r="J156" s="53" t="e">
        <f t="shared" si="179"/>
        <v>#REF!</v>
      </c>
      <c r="K156" s="58">
        <v>0.27760000000000001</v>
      </c>
      <c r="L156" s="53" t="e">
        <f t="shared" si="208"/>
        <v>#REF!</v>
      </c>
      <c r="M156" s="53" t="e">
        <f t="shared" si="208"/>
        <v>#REF!</v>
      </c>
      <c r="N156" s="53" t="e">
        <f t="shared" si="181"/>
        <v>#REF!</v>
      </c>
      <c r="X156" s="55">
        <v>0.5</v>
      </c>
      <c r="Y156" s="56" t="e">
        <f t="shared" ref="Y156" si="223">X156*$N156</f>
        <v>#REF!</v>
      </c>
      <c r="AB156" s="55">
        <v>0.5</v>
      </c>
      <c r="AC156" s="56" t="e">
        <f t="shared" si="217"/>
        <v>#REF!</v>
      </c>
      <c r="AE156" s="57">
        <f t="shared" si="182"/>
        <v>1</v>
      </c>
      <c r="AF156" s="50" t="e">
        <f t="shared" si="174"/>
        <v>#REF!</v>
      </c>
      <c r="AG156" s="39" t="e">
        <f t="shared" si="175"/>
        <v>#REF!</v>
      </c>
      <c r="AJ156" s="8" t="s">
        <v>24</v>
      </c>
      <c r="AK156" s="8" t="s">
        <v>406</v>
      </c>
      <c r="AL156" s="8" t="s">
        <v>407</v>
      </c>
      <c r="AM156" s="9" t="s">
        <v>408</v>
      </c>
      <c r="AN156" s="59" t="s">
        <v>149</v>
      </c>
      <c r="AO156" s="85">
        <v>2</v>
      </c>
      <c r="AP156" s="59"/>
      <c r="AQ156" s="59">
        <f t="shared" si="183"/>
        <v>0</v>
      </c>
      <c r="AR156" s="59">
        <f t="shared" si="184"/>
        <v>539.79126469040511</v>
      </c>
      <c r="AS156" s="59">
        <f t="shared" si="185"/>
        <v>539.79126469040511</v>
      </c>
      <c r="AT156" s="88">
        <v>0.14019999999999999</v>
      </c>
      <c r="AU156" s="59">
        <v>0</v>
      </c>
      <c r="AV156" s="59">
        <v>615.47</v>
      </c>
      <c r="AW156" s="52">
        <f t="shared" si="186"/>
        <v>615.47</v>
      </c>
      <c r="AX156" s="53">
        <f t="shared" si="187"/>
        <v>0</v>
      </c>
      <c r="AY156" s="53">
        <f t="shared" si="188"/>
        <v>1230.94</v>
      </c>
      <c r="AZ156" s="53">
        <f t="shared" si="189"/>
        <v>1230.94</v>
      </c>
      <c r="BN156" s="55">
        <v>1</v>
      </c>
      <c r="BO156" s="97">
        <f t="shared" ref="BO156" si="224">BN156*$AZ156</f>
        <v>1230.94</v>
      </c>
      <c r="BQ156" s="57">
        <f t="shared" si="191"/>
        <v>1</v>
      </c>
      <c r="BR156" s="50">
        <f t="shared" si="177"/>
        <v>1230.94</v>
      </c>
      <c r="BS156" s="39" t="str">
        <f t="shared" si="202"/>
        <v>OK</v>
      </c>
    </row>
    <row r="157" spans="1:71" x14ac:dyDescent="0.25">
      <c r="AU157" s="92"/>
    </row>
    <row r="158" spans="1:71" x14ac:dyDescent="0.25">
      <c r="A158" s="4" t="s">
        <v>367</v>
      </c>
      <c r="B158" s="5"/>
      <c r="C158" s="5"/>
      <c r="D158" s="18"/>
      <c r="E158" s="5"/>
      <c r="F158" s="6"/>
      <c r="G158" s="6"/>
      <c r="H158" s="6"/>
      <c r="I158" s="7"/>
      <c r="J158" s="7"/>
      <c r="K158" s="7"/>
      <c r="L158" s="7"/>
      <c r="M158" s="7"/>
      <c r="N158" s="7">
        <f>SUM(N159:N167)</f>
        <v>6866.56</v>
      </c>
      <c r="P158" s="48" t="e">
        <f>N158/$N$170</f>
        <v>#REF!</v>
      </c>
      <c r="Q158" s="48"/>
      <c r="T158" s="49" t="e">
        <f>U158/$N$170</f>
        <v>#REF!</v>
      </c>
      <c r="U158" s="47">
        <f>SUM(U159:U167)</f>
        <v>0</v>
      </c>
      <c r="V158" s="49" t="e">
        <f>W158/$N$170</f>
        <v>#REF!</v>
      </c>
      <c r="W158" s="47">
        <f>SUM(W159:W167)</f>
        <v>0</v>
      </c>
      <c r="X158" s="49" t="e">
        <f>Y158/$N$170</f>
        <v>#REF!</v>
      </c>
      <c r="Y158" s="47">
        <f>SUM(Y159:Y167)</f>
        <v>0</v>
      </c>
      <c r="Z158" s="49" t="e">
        <f>AA158/$N$170</f>
        <v>#REF!</v>
      </c>
      <c r="AA158" s="47">
        <f>SUM(AA159:AA167)</f>
        <v>5149.92</v>
      </c>
      <c r="AB158" s="49" t="e">
        <f>AC158/$N$170</f>
        <v>#REF!</v>
      </c>
      <c r="AC158" s="47">
        <f>SUM(AC159:AC167)</f>
        <v>1716.64</v>
      </c>
      <c r="AE158" s="43"/>
      <c r="AF158" s="50">
        <f t="shared" ref="AF158:AF167" si="225">SUM(U158,Y158,AA158,AC158)</f>
        <v>6866.56</v>
      </c>
      <c r="AG158" s="39" t="str">
        <f t="shared" ref="AG158:AG167" si="226">IF(AF158=N158,"OK","VERIFICAR")</f>
        <v>OK</v>
      </c>
      <c r="AJ158" s="4" t="s">
        <v>367</v>
      </c>
      <c r="AK158" s="5"/>
      <c r="AL158" s="5"/>
      <c r="AM158" s="18"/>
      <c r="AN158" s="5"/>
      <c r="AO158" s="6"/>
      <c r="AP158" s="90"/>
      <c r="AQ158" s="90"/>
      <c r="AR158" s="90"/>
      <c r="AS158" s="90"/>
      <c r="AT158" s="7"/>
      <c r="AU158" s="90"/>
      <c r="AV158" s="90"/>
      <c r="AW158" s="90"/>
      <c r="AX158" s="47">
        <f t="shared" ref="AX158:AY158" si="227">SUM(AX159:AX167)</f>
        <v>2141.1794973000001</v>
      </c>
      <c r="AY158" s="47">
        <f t="shared" si="227"/>
        <v>5231.9097872000002</v>
      </c>
      <c r="AZ158" s="47">
        <f>SUM(AZ159:AZ167)</f>
        <v>7373.0892845000008</v>
      </c>
      <c r="BB158" s="48" t="e">
        <f>#REF!/$N$170</f>
        <v>#REF!</v>
      </c>
      <c r="BC158" s="48"/>
      <c r="BF158" s="49" t="e">
        <f>BG158/$N$170</f>
        <v>#REF!</v>
      </c>
      <c r="BG158" s="47">
        <f>SUM(BG159:BG167)</f>
        <v>0</v>
      </c>
      <c r="BH158" s="49" t="e">
        <f>BI158/$N$170</f>
        <v>#REF!</v>
      </c>
      <c r="BI158" s="47">
        <f>SUM(BI159:BI167)</f>
        <v>0</v>
      </c>
      <c r="BJ158" s="49" t="e">
        <f>BK158/$N$170</f>
        <v>#REF!</v>
      </c>
      <c r="BK158" s="47">
        <f>SUM(BK159:BK167)</f>
        <v>0</v>
      </c>
      <c r="BL158" s="49" t="e">
        <f>BM158/$N$170</f>
        <v>#REF!</v>
      </c>
      <c r="BM158" s="47">
        <f>SUM(BM159:BM167)</f>
        <v>5529.8169633750003</v>
      </c>
      <c r="BN158" s="49" t="e">
        <f>BO158/$N$170</f>
        <v>#REF!</v>
      </c>
      <c r="BO158" s="47">
        <f>SUM(BO159:BO167)</f>
        <v>1843.2723211250002</v>
      </c>
      <c r="BQ158" s="43"/>
      <c r="BR158" s="50">
        <f t="shared" ref="BR158:BR167" si="228">SUM(BG158,BK158,BM158,BO158)</f>
        <v>7373.0892845000008</v>
      </c>
      <c r="BS158" s="39" t="str">
        <f t="shared" si="202"/>
        <v>OK</v>
      </c>
    </row>
    <row r="159" spans="1:71" ht="30" outlineLevel="1" x14ac:dyDescent="0.25">
      <c r="A159" s="8" t="s">
        <v>24</v>
      </c>
      <c r="B159" s="8" t="s">
        <v>366</v>
      </c>
      <c r="C159" s="8" t="s">
        <v>389</v>
      </c>
      <c r="D159" s="9" t="s">
        <v>390</v>
      </c>
      <c r="E159" s="59" t="s">
        <v>84</v>
      </c>
      <c r="F159" s="59">
        <f>6*5</f>
        <v>30</v>
      </c>
      <c r="G159" s="53">
        <v>25.39</v>
      </c>
      <c r="H159" s="53">
        <v>8.73</v>
      </c>
      <c r="I159" s="53">
        <f t="shared" ref="I159:I167" si="229">G159+H159</f>
        <v>34.120000000000005</v>
      </c>
      <c r="J159" s="53">
        <f t="shared" ref="J159:J167" si="230">TRUNC(I159*F159,2)</f>
        <v>1023.6</v>
      </c>
      <c r="K159" s="58">
        <v>0.27760000000000001</v>
      </c>
      <c r="L159" s="53">
        <f t="shared" ref="L159:M167" si="231">TRUNC($F159*G159*(1+$K159),2)</f>
        <v>973.14</v>
      </c>
      <c r="M159" s="53">
        <f t="shared" si="231"/>
        <v>334.6</v>
      </c>
      <c r="N159" s="53">
        <f t="shared" ref="N159:N167" si="232">M159+L159</f>
        <v>1307.74</v>
      </c>
      <c r="Z159" s="55">
        <v>0.75</v>
      </c>
      <c r="AA159" s="56">
        <f t="shared" ref="AA159:AA167" si="233">Z159*$N159</f>
        <v>980.80500000000006</v>
      </c>
      <c r="AB159" s="55">
        <v>0.25</v>
      </c>
      <c r="AC159" s="56">
        <f t="shared" ref="AC159:AC167" si="234">AB159*$N159</f>
        <v>326.935</v>
      </c>
      <c r="AE159" s="57">
        <f t="shared" ref="AE159:AE167" si="235">SUM(T159,X159,Z159,AB159)</f>
        <v>1</v>
      </c>
      <c r="AF159" s="50">
        <f t="shared" si="225"/>
        <v>1307.74</v>
      </c>
      <c r="AG159" s="39" t="str">
        <f t="shared" si="226"/>
        <v>OK</v>
      </c>
      <c r="AJ159" s="8" t="s">
        <v>24</v>
      </c>
      <c r="AK159" s="8" t="s">
        <v>366</v>
      </c>
      <c r="AL159" s="8" t="s">
        <v>389</v>
      </c>
      <c r="AM159" s="9" t="s">
        <v>390</v>
      </c>
      <c r="AN159" s="59" t="s">
        <v>84</v>
      </c>
      <c r="AO159" s="85">
        <f>6*5</f>
        <v>30</v>
      </c>
      <c r="AP159" s="59"/>
      <c r="AQ159" s="59">
        <f t="shared" ref="AQ159:AQ167" si="236">AU159/(1+$AT159)</f>
        <v>15.716540957726714</v>
      </c>
      <c r="AR159" s="59">
        <f t="shared" ref="AR159:AR167" si="237">AV159/(1+$AT159)</f>
        <v>54.990352569724607</v>
      </c>
      <c r="AS159" s="59">
        <f t="shared" ref="AS159:AS167" si="238">AW159/(1+$AT159)</f>
        <v>70.706893527451328</v>
      </c>
      <c r="AT159" s="88">
        <v>0.14019999999999999</v>
      </c>
      <c r="AU159" s="59">
        <v>17.920000000000002</v>
      </c>
      <c r="AV159" s="59">
        <v>62.7</v>
      </c>
      <c r="AW159" s="52">
        <f t="shared" ref="AW159:AW167" si="239">AU159+AV159</f>
        <v>80.62</v>
      </c>
      <c r="AX159" s="53">
        <f t="shared" ref="AX159:AX167" si="240">$AO159*AU159</f>
        <v>537.6</v>
      </c>
      <c r="AY159" s="53">
        <f t="shared" ref="AY159:AY167" si="241">$AO159*AV159</f>
        <v>1881</v>
      </c>
      <c r="AZ159" s="53">
        <f t="shared" ref="AZ159:AZ167" si="242">$AO159*AW159</f>
        <v>2418.6000000000004</v>
      </c>
      <c r="BL159" s="55">
        <v>0.75</v>
      </c>
      <c r="BM159" s="97">
        <f t="shared" ref="BM159:BM167" si="243">BL159*$AZ159</f>
        <v>1813.9500000000003</v>
      </c>
      <c r="BN159" s="55">
        <v>0.25</v>
      </c>
      <c r="BO159" s="97">
        <f t="shared" ref="BO159" si="244">BN159*$AZ159</f>
        <v>604.65000000000009</v>
      </c>
      <c r="BQ159" s="57">
        <f t="shared" ref="BQ159:BQ167" si="245">SUM(BF159,BJ159,BL159,BN159)</f>
        <v>1</v>
      </c>
      <c r="BR159" s="50">
        <f t="shared" si="228"/>
        <v>2418.6000000000004</v>
      </c>
      <c r="BS159" s="39" t="str">
        <f t="shared" si="202"/>
        <v>OK</v>
      </c>
    </row>
    <row r="160" spans="1:71" ht="30" outlineLevel="1" x14ac:dyDescent="0.25">
      <c r="A160" s="8" t="s">
        <v>24</v>
      </c>
      <c r="B160" s="8" t="s">
        <v>368</v>
      </c>
      <c r="C160" s="8" t="s">
        <v>376</v>
      </c>
      <c r="D160" s="9" t="s">
        <v>377</v>
      </c>
      <c r="E160" s="59" t="s">
        <v>84</v>
      </c>
      <c r="F160" s="59">
        <v>90</v>
      </c>
      <c r="G160" s="53">
        <v>24.17</v>
      </c>
      <c r="H160" s="53">
        <v>0.69</v>
      </c>
      <c r="I160" s="53">
        <f t="shared" si="229"/>
        <v>24.860000000000003</v>
      </c>
      <c r="J160" s="53">
        <f t="shared" si="230"/>
        <v>2237.4</v>
      </c>
      <c r="K160" s="58">
        <v>0.27760000000000001</v>
      </c>
      <c r="L160" s="53">
        <f t="shared" si="231"/>
        <v>2779.16</v>
      </c>
      <c r="M160" s="53">
        <f t="shared" si="231"/>
        <v>79.33</v>
      </c>
      <c r="N160" s="53">
        <f t="shared" si="232"/>
        <v>2858.49</v>
      </c>
      <c r="Z160" s="55">
        <v>0.75</v>
      </c>
      <c r="AA160" s="56">
        <f t="shared" si="233"/>
        <v>2143.8674999999998</v>
      </c>
      <c r="AB160" s="55">
        <v>0.25</v>
      </c>
      <c r="AC160" s="56">
        <f t="shared" si="234"/>
        <v>714.62249999999995</v>
      </c>
      <c r="AE160" s="57">
        <f t="shared" si="235"/>
        <v>1</v>
      </c>
      <c r="AF160" s="50">
        <f t="shared" si="225"/>
        <v>2858.49</v>
      </c>
      <c r="AG160" s="39" t="str">
        <f t="shared" si="226"/>
        <v>OK</v>
      </c>
      <c r="AJ160" s="8" t="s">
        <v>24</v>
      </c>
      <c r="AK160" s="8" t="s">
        <v>368</v>
      </c>
      <c r="AL160" s="8" t="s">
        <v>376</v>
      </c>
      <c r="AM160" s="9" t="s">
        <v>377</v>
      </c>
      <c r="AN160" s="59" t="s">
        <v>84</v>
      </c>
      <c r="AO160" s="85">
        <v>90</v>
      </c>
      <c r="AP160" s="59"/>
      <c r="AQ160" s="59">
        <f t="shared" si="236"/>
        <v>0.85072794246623384</v>
      </c>
      <c r="AR160" s="59">
        <f t="shared" si="237"/>
        <v>23.566041045430627</v>
      </c>
      <c r="AS160" s="59">
        <f t="shared" si="238"/>
        <v>24.416768987896859</v>
      </c>
      <c r="AT160" s="88">
        <v>0.14019999999999999</v>
      </c>
      <c r="AU160" s="59">
        <v>0.97</v>
      </c>
      <c r="AV160" s="59">
        <v>26.87</v>
      </c>
      <c r="AW160" s="52">
        <f t="shared" si="239"/>
        <v>27.84</v>
      </c>
      <c r="AX160" s="53">
        <f t="shared" si="240"/>
        <v>87.3</v>
      </c>
      <c r="AY160" s="53">
        <f t="shared" si="241"/>
        <v>2418.3000000000002</v>
      </c>
      <c r="AZ160" s="53">
        <f t="shared" si="242"/>
        <v>2505.6</v>
      </c>
      <c r="BL160" s="55">
        <v>0.75</v>
      </c>
      <c r="BM160" s="97">
        <f t="shared" si="243"/>
        <v>1879.1999999999998</v>
      </c>
      <c r="BN160" s="55">
        <v>0.25</v>
      </c>
      <c r="BO160" s="97">
        <f t="shared" ref="BO160" si="246">BN160*$AZ160</f>
        <v>626.4</v>
      </c>
      <c r="BQ160" s="57">
        <f t="shared" si="245"/>
        <v>1</v>
      </c>
      <c r="BR160" s="50">
        <f t="shared" si="228"/>
        <v>2505.6</v>
      </c>
      <c r="BS160" s="39" t="str">
        <f t="shared" si="202"/>
        <v>OK</v>
      </c>
    </row>
    <row r="161" spans="1:71" ht="30" outlineLevel="1" x14ac:dyDescent="0.25">
      <c r="A161" s="8" t="s">
        <v>24</v>
      </c>
      <c r="B161" s="8" t="s">
        <v>369</v>
      </c>
      <c r="C161" s="8" t="s">
        <v>380</v>
      </c>
      <c r="D161" s="9" t="s">
        <v>373</v>
      </c>
      <c r="E161" s="59" t="s">
        <v>9</v>
      </c>
      <c r="F161" s="59">
        <v>6</v>
      </c>
      <c r="G161" s="53">
        <v>7.95</v>
      </c>
      <c r="H161" s="53">
        <v>8.51</v>
      </c>
      <c r="I161" s="53">
        <f t="shared" si="229"/>
        <v>16.46</v>
      </c>
      <c r="J161" s="53">
        <f t="shared" si="230"/>
        <v>98.76</v>
      </c>
      <c r="K161" s="58">
        <v>0.27760000000000001</v>
      </c>
      <c r="L161" s="53">
        <f t="shared" si="231"/>
        <v>60.94</v>
      </c>
      <c r="M161" s="53">
        <f t="shared" si="231"/>
        <v>65.23</v>
      </c>
      <c r="N161" s="53">
        <f t="shared" si="232"/>
        <v>126.17</v>
      </c>
      <c r="Z161" s="55">
        <v>0.75</v>
      </c>
      <c r="AA161" s="56">
        <f t="shared" si="233"/>
        <v>94.627499999999998</v>
      </c>
      <c r="AB161" s="55">
        <v>0.25</v>
      </c>
      <c r="AC161" s="56">
        <f t="shared" si="234"/>
        <v>31.5425</v>
      </c>
      <c r="AE161" s="57">
        <f t="shared" si="235"/>
        <v>1</v>
      </c>
      <c r="AF161" s="50">
        <f t="shared" si="225"/>
        <v>126.17</v>
      </c>
      <c r="AG161" s="39" t="str">
        <f t="shared" si="226"/>
        <v>OK</v>
      </c>
      <c r="AJ161" s="8" t="s">
        <v>24</v>
      </c>
      <c r="AK161" s="8" t="s">
        <v>369</v>
      </c>
      <c r="AL161" s="8" t="s">
        <v>380</v>
      </c>
      <c r="AM161" s="9" t="s">
        <v>373</v>
      </c>
      <c r="AN161" s="59" t="s">
        <v>9</v>
      </c>
      <c r="AO161" s="85">
        <v>6</v>
      </c>
      <c r="AP161" s="59"/>
      <c r="AQ161" s="59">
        <f t="shared" si="236"/>
        <v>10.270128047710928</v>
      </c>
      <c r="AR161" s="59">
        <f t="shared" si="237"/>
        <v>9.7439045781441838</v>
      </c>
      <c r="AS161" s="59">
        <f t="shared" si="238"/>
        <v>20.014032625855112</v>
      </c>
      <c r="AT161" s="88">
        <v>0.14019999999999999</v>
      </c>
      <c r="AU161" s="59">
        <v>11.71</v>
      </c>
      <c r="AV161" s="59">
        <v>11.11</v>
      </c>
      <c r="AW161" s="52">
        <f t="shared" si="239"/>
        <v>22.82</v>
      </c>
      <c r="AX161" s="53">
        <f t="shared" si="240"/>
        <v>70.260000000000005</v>
      </c>
      <c r="AY161" s="53">
        <f t="shared" si="241"/>
        <v>66.66</v>
      </c>
      <c r="AZ161" s="53">
        <f t="shared" si="242"/>
        <v>136.92000000000002</v>
      </c>
      <c r="BL161" s="55">
        <v>0.75</v>
      </c>
      <c r="BM161" s="97">
        <f t="shared" si="243"/>
        <v>102.69000000000001</v>
      </c>
      <c r="BN161" s="55">
        <v>0.25</v>
      </c>
      <c r="BO161" s="97">
        <f t="shared" ref="BO161" si="247">BN161*$AZ161</f>
        <v>34.230000000000004</v>
      </c>
      <c r="BQ161" s="57">
        <f t="shared" si="245"/>
        <v>1</v>
      </c>
      <c r="BR161" s="50">
        <f t="shared" si="228"/>
        <v>136.92000000000002</v>
      </c>
      <c r="BS161" s="39" t="str">
        <f t="shared" si="202"/>
        <v>OK</v>
      </c>
    </row>
    <row r="162" spans="1:71" ht="30" outlineLevel="1" x14ac:dyDescent="0.25">
      <c r="A162" s="8" t="s">
        <v>24</v>
      </c>
      <c r="B162" s="8" t="s">
        <v>370</v>
      </c>
      <c r="C162" s="8" t="s">
        <v>381</v>
      </c>
      <c r="D162" s="9" t="s">
        <v>382</v>
      </c>
      <c r="E162" s="59" t="s">
        <v>9</v>
      </c>
      <c r="F162" s="59">
        <v>12</v>
      </c>
      <c r="G162" s="53">
        <v>28.46</v>
      </c>
      <c r="H162" s="53">
        <v>4.26</v>
      </c>
      <c r="I162" s="53">
        <f t="shared" si="229"/>
        <v>32.72</v>
      </c>
      <c r="J162" s="53">
        <f t="shared" si="230"/>
        <v>392.64</v>
      </c>
      <c r="K162" s="58">
        <v>0.27760000000000001</v>
      </c>
      <c r="L162" s="53">
        <f t="shared" si="231"/>
        <v>436.32</v>
      </c>
      <c r="M162" s="53">
        <f t="shared" si="231"/>
        <v>65.31</v>
      </c>
      <c r="N162" s="53">
        <f t="shared" si="232"/>
        <v>501.63</v>
      </c>
      <c r="Z162" s="55">
        <v>0.75</v>
      </c>
      <c r="AA162" s="56">
        <f t="shared" si="233"/>
        <v>376.22249999999997</v>
      </c>
      <c r="AB162" s="55">
        <v>0.25</v>
      </c>
      <c r="AC162" s="56">
        <f t="shared" si="234"/>
        <v>125.4075</v>
      </c>
      <c r="AE162" s="57">
        <f t="shared" si="235"/>
        <v>1</v>
      </c>
      <c r="AF162" s="50">
        <f t="shared" si="225"/>
        <v>501.63</v>
      </c>
      <c r="AG162" s="39" t="str">
        <f t="shared" si="226"/>
        <v>OK</v>
      </c>
      <c r="AJ162" s="8" t="s">
        <v>24</v>
      </c>
      <c r="AK162" s="8" t="s">
        <v>370</v>
      </c>
      <c r="AL162" s="8" t="s">
        <v>381</v>
      </c>
      <c r="AM162" s="9" t="s">
        <v>382</v>
      </c>
      <c r="AN162" s="59" t="s">
        <v>9</v>
      </c>
      <c r="AO162" s="85">
        <v>12</v>
      </c>
      <c r="AP162" s="59"/>
      <c r="AQ162" s="59">
        <f t="shared" si="236"/>
        <v>5.1306788282757401</v>
      </c>
      <c r="AR162" s="59">
        <f t="shared" si="237"/>
        <v>8.2353972987195228</v>
      </c>
      <c r="AS162" s="59">
        <f t="shared" si="238"/>
        <v>13.366076126995264</v>
      </c>
      <c r="AT162" s="88">
        <v>0.14019999999999999</v>
      </c>
      <c r="AU162" s="59">
        <v>5.85</v>
      </c>
      <c r="AV162" s="59">
        <v>9.39</v>
      </c>
      <c r="AW162" s="52">
        <f t="shared" si="239"/>
        <v>15.24</v>
      </c>
      <c r="AX162" s="53">
        <f t="shared" si="240"/>
        <v>70.199999999999989</v>
      </c>
      <c r="AY162" s="53">
        <f t="shared" si="241"/>
        <v>112.68</v>
      </c>
      <c r="AZ162" s="53">
        <f t="shared" si="242"/>
        <v>182.88</v>
      </c>
      <c r="BL162" s="55">
        <v>0.75</v>
      </c>
      <c r="BM162" s="97">
        <f t="shared" si="243"/>
        <v>137.16</v>
      </c>
      <c r="BN162" s="55">
        <v>0.25</v>
      </c>
      <c r="BO162" s="97">
        <f t="shared" ref="BO162" si="248">BN162*$AZ162</f>
        <v>45.72</v>
      </c>
      <c r="BQ162" s="57">
        <f t="shared" si="245"/>
        <v>1</v>
      </c>
      <c r="BR162" s="50">
        <f t="shared" si="228"/>
        <v>182.88</v>
      </c>
      <c r="BS162" s="39" t="str">
        <f t="shared" si="202"/>
        <v>OK</v>
      </c>
    </row>
    <row r="163" spans="1:71" ht="30" outlineLevel="1" x14ac:dyDescent="0.25">
      <c r="A163" s="8" t="s">
        <v>24</v>
      </c>
      <c r="B163" s="8" t="s">
        <v>371</v>
      </c>
      <c r="C163" s="8" t="s">
        <v>243</v>
      </c>
      <c r="D163" s="9" t="s">
        <v>33</v>
      </c>
      <c r="E163" s="59" t="s">
        <v>34</v>
      </c>
      <c r="F163" s="59">
        <v>1</v>
      </c>
      <c r="G163" s="53">
        <v>29.43</v>
      </c>
      <c r="H163" s="53">
        <v>0</v>
      </c>
      <c r="I163" s="53">
        <f t="shared" si="229"/>
        <v>29.43</v>
      </c>
      <c r="J163" s="53">
        <f t="shared" si="230"/>
        <v>29.43</v>
      </c>
      <c r="K163" s="58">
        <v>0.27760000000000001</v>
      </c>
      <c r="L163" s="53">
        <f t="shared" si="231"/>
        <v>37.590000000000003</v>
      </c>
      <c r="M163" s="53">
        <f t="shared" si="231"/>
        <v>0</v>
      </c>
      <c r="N163" s="53">
        <f t="shared" si="232"/>
        <v>37.590000000000003</v>
      </c>
      <c r="Z163" s="55">
        <v>0.75</v>
      </c>
      <c r="AA163" s="56">
        <f t="shared" si="233"/>
        <v>28.192500000000003</v>
      </c>
      <c r="AB163" s="55">
        <v>0.25</v>
      </c>
      <c r="AC163" s="56">
        <f t="shared" si="234"/>
        <v>9.3975000000000009</v>
      </c>
      <c r="AE163" s="57">
        <f t="shared" si="235"/>
        <v>1</v>
      </c>
      <c r="AF163" s="50">
        <f t="shared" si="225"/>
        <v>37.590000000000003</v>
      </c>
      <c r="AG163" s="39" t="str">
        <f t="shared" si="226"/>
        <v>OK</v>
      </c>
      <c r="AJ163" s="8" t="s">
        <v>24</v>
      </c>
      <c r="AK163" s="8" t="s">
        <v>371</v>
      </c>
      <c r="AL163" s="8" t="s">
        <v>243</v>
      </c>
      <c r="AM163" s="9" t="s">
        <v>33</v>
      </c>
      <c r="AN163" s="59" t="s">
        <v>34</v>
      </c>
      <c r="AO163" s="85">
        <v>1</v>
      </c>
      <c r="AP163" s="59"/>
      <c r="AQ163" s="59">
        <f t="shared" si="236"/>
        <v>0</v>
      </c>
      <c r="AR163" s="59">
        <f t="shared" si="237"/>
        <v>29.424662339940355</v>
      </c>
      <c r="AS163" s="59">
        <f t="shared" si="238"/>
        <v>29.424662339940355</v>
      </c>
      <c r="AT163" s="88">
        <v>0.14019999999999999</v>
      </c>
      <c r="AU163" s="59">
        <v>0</v>
      </c>
      <c r="AV163" s="59">
        <v>33.549999999999997</v>
      </c>
      <c r="AW163" s="52">
        <f t="shared" si="239"/>
        <v>33.549999999999997</v>
      </c>
      <c r="AX163" s="53">
        <f t="shared" si="240"/>
        <v>0</v>
      </c>
      <c r="AY163" s="53">
        <f t="shared" si="241"/>
        <v>33.549999999999997</v>
      </c>
      <c r="AZ163" s="53">
        <f t="shared" si="242"/>
        <v>33.549999999999997</v>
      </c>
      <c r="BL163" s="55">
        <v>0.75</v>
      </c>
      <c r="BM163" s="97">
        <f t="shared" si="243"/>
        <v>25.162499999999998</v>
      </c>
      <c r="BN163" s="55">
        <v>0.25</v>
      </c>
      <c r="BO163" s="97">
        <f t="shared" ref="BO163" si="249">BN163*$AZ163</f>
        <v>8.3874999999999993</v>
      </c>
      <c r="BQ163" s="57">
        <f t="shared" si="245"/>
        <v>1</v>
      </c>
      <c r="BR163" s="50">
        <f t="shared" si="228"/>
        <v>33.549999999999997</v>
      </c>
      <c r="BS163" s="39" t="str">
        <f t="shared" si="202"/>
        <v>OK</v>
      </c>
    </row>
    <row r="164" spans="1:71" ht="30" outlineLevel="1" x14ac:dyDescent="0.25">
      <c r="A164" s="8" t="s">
        <v>24</v>
      </c>
      <c r="B164" s="8" t="s">
        <v>372</v>
      </c>
      <c r="C164" s="8" t="s">
        <v>383</v>
      </c>
      <c r="D164" s="9" t="s">
        <v>374</v>
      </c>
      <c r="E164" s="59" t="s">
        <v>375</v>
      </c>
      <c r="F164" s="59">
        <f>100*0.3*0.333333</f>
        <v>9.9999900000000004</v>
      </c>
      <c r="G164" s="53">
        <v>17.5</v>
      </c>
      <c r="H164" s="53">
        <v>36.42</v>
      </c>
      <c r="I164" s="53">
        <f t="shared" si="229"/>
        <v>53.92</v>
      </c>
      <c r="J164" s="53">
        <f t="shared" si="230"/>
        <v>539.19000000000005</v>
      </c>
      <c r="K164" s="58">
        <v>0.27760000000000001</v>
      </c>
      <c r="L164" s="53">
        <f t="shared" si="231"/>
        <v>223.57</v>
      </c>
      <c r="M164" s="53">
        <f t="shared" si="231"/>
        <v>465.3</v>
      </c>
      <c r="N164" s="53">
        <f t="shared" si="232"/>
        <v>688.87</v>
      </c>
      <c r="Z164" s="55">
        <v>0.75</v>
      </c>
      <c r="AA164" s="56">
        <f t="shared" si="233"/>
        <v>516.65250000000003</v>
      </c>
      <c r="AB164" s="55">
        <v>0.25</v>
      </c>
      <c r="AC164" s="56">
        <f t="shared" si="234"/>
        <v>172.2175</v>
      </c>
      <c r="AE164" s="57">
        <f t="shared" si="235"/>
        <v>1</v>
      </c>
      <c r="AF164" s="50">
        <f t="shared" si="225"/>
        <v>688.87</v>
      </c>
      <c r="AG164" s="39" t="str">
        <f t="shared" si="226"/>
        <v>OK</v>
      </c>
      <c r="AJ164" s="8" t="s">
        <v>24</v>
      </c>
      <c r="AK164" s="8" t="s">
        <v>372</v>
      </c>
      <c r="AL164" s="8" t="s">
        <v>383</v>
      </c>
      <c r="AM164" s="9" t="s">
        <v>374</v>
      </c>
      <c r="AN164" s="59" t="s">
        <v>375</v>
      </c>
      <c r="AO164" s="85">
        <f>100*0.3*0.333333</f>
        <v>9.9999900000000004</v>
      </c>
      <c r="AP164" s="59"/>
      <c r="AQ164" s="59">
        <f t="shared" si="236"/>
        <v>44.088756358533587</v>
      </c>
      <c r="AR164" s="59">
        <f t="shared" si="237"/>
        <v>18.663392387300473</v>
      </c>
      <c r="AS164" s="59">
        <f t="shared" si="238"/>
        <v>62.75214874583407</v>
      </c>
      <c r="AT164" s="88">
        <v>0.14019999999999999</v>
      </c>
      <c r="AU164" s="59">
        <v>50.27</v>
      </c>
      <c r="AV164" s="59">
        <v>21.28</v>
      </c>
      <c r="AW164" s="52">
        <f t="shared" si="239"/>
        <v>71.550000000000011</v>
      </c>
      <c r="AX164" s="53">
        <f t="shared" si="240"/>
        <v>502.69949730000008</v>
      </c>
      <c r="AY164" s="53">
        <f t="shared" si="241"/>
        <v>212.79978720000003</v>
      </c>
      <c r="AZ164" s="53">
        <f t="shared" si="242"/>
        <v>715.49928450000016</v>
      </c>
      <c r="BL164" s="55">
        <v>0.75</v>
      </c>
      <c r="BM164" s="97">
        <f t="shared" si="243"/>
        <v>536.62446337500012</v>
      </c>
      <c r="BN164" s="55">
        <v>0.25</v>
      </c>
      <c r="BO164" s="97">
        <f t="shared" ref="BO164" si="250">BN164*$AZ164</f>
        <v>178.87482112500004</v>
      </c>
      <c r="BQ164" s="57">
        <f t="shared" si="245"/>
        <v>1</v>
      </c>
      <c r="BR164" s="50">
        <f t="shared" si="228"/>
        <v>715.49928450000016</v>
      </c>
      <c r="BS164" s="39" t="str">
        <f t="shared" si="202"/>
        <v>OK</v>
      </c>
    </row>
    <row r="165" spans="1:71" outlineLevel="1" x14ac:dyDescent="0.25">
      <c r="A165" s="8" t="s">
        <v>24</v>
      </c>
      <c r="B165" s="8" t="s">
        <v>384</v>
      </c>
      <c r="C165" s="8" t="s">
        <v>385</v>
      </c>
      <c r="D165" s="9" t="s">
        <v>386</v>
      </c>
      <c r="E165" s="59" t="s">
        <v>375</v>
      </c>
      <c r="F165" s="59">
        <v>10</v>
      </c>
      <c r="G165" s="53">
        <v>10.61</v>
      </c>
      <c r="H165" s="53">
        <v>22.08</v>
      </c>
      <c r="I165" s="53">
        <f t="shared" si="229"/>
        <v>32.69</v>
      </c>
      <c r="J165" s="53">
        <f t="shared" si="230"/>
        <v>326.89999999999998</v>
      </c>
      <c r="K165" s="58">
        <v>0.27760000000000001</v>
      </c>
      <c r="L165" s="53">
        <f t="shared" si="231"/>
        <v>135.55000000000001</v>
      </c>
      <c r="M165" s="53">
        <f t="shared" si="231"/>
        <v>282.08999999999997</v>
      </c>
      <c r="N165" s="53">
        <f t="shared" si="232"/>
        <v>417.64</v>
      </c>
      <c r="Z165" s="55">
        <v>0.75</v>
      </c>
      <c r="AA165" s="56">
        <f t="shared" si="233"/>
        <v>313.23</v>
      </c>
      <c r="AB165" s="55">
        <v>0.25</v>
      </c>
      <c r="AC165" s="56">
        <f t="shared" si="234"/>
        <v>104.41</v>
      </c>
      <c r="AE165" s="57">
        <f t="shared" si="235"/>
        <v>1</v>
      </c>
      <c r="AF165" s="50">
        <f t="shared" si="225"/>
        <v>417.64</v>
      </c>
      <c r="AG165" s="39" t="str">
        <f t="shared" si="226"/>
        <v>OK</v>
      </c>
      <c r="AJ165" s="8" t="s">
        <v>24</v>
      </c>
      <c r="AK165" s="8" t="s">
        <v>384</v>
      </c>
      <c r="AL165" s="8" t="s">
        <v>385</v>
      </c>
      <c r="AM165" s="9" t="s">
        <v>386</v>
      </c>
      <c r="AN165" s="59" t="s">
        <v>375</v>
      </c>
      <c r="AO165" s="85">
        <v>10</v>
      </c>
      <c r="AP165" s="59"/>
      <c r="AQ165" s="59">
        <f t="shared" si="236"/>
        <v>26.732152253990527</v>
      </c>
      <c r="AR165" s="59">
        <f t="shared" si="237"/>
        <v>11.313804595684967</v>
      </c>
      <c r="AS165" s="59">
        <f t="shared" si="238"/>
        <v>38.045956849675491</v>
      </c>
      <c r="AT165" s="88">
        <v>0.14019999999999999</v>
      </c>
      <c r="AU165" s="59">
        <v>30.48</v>
      </c>
      <c r="AV165" s="59">
        <v>12.9</v>
      </c>
      <c r="AW165" s="52">
        <f t="shared" si="239"/>
        <v>43.38</v>
      </c>
      <c r="AX165" s="53">
        <f t="shared" si="240"/>
        <v>304.8</v>
      </c>
      <c r="AY165" s="53">
        <f t="shared" si="241"/>
        <v>129</v>
      </c>
      <c r="AZ165" s="53">
        <f t="shared" si="242"/>
        <v>433.8</v>
      </c>
      <c r="BL165" s="55">
        <v>0.75</v>
      </c>
      <c r="BM165" s="97">
        <f t="shared" si="243"/>
        <v>325.35000000000002</v>
      </c>
      <c r="BN165" s="55">
        <v>0.25</v>
      </c>
      <c r="BO165" s="97">
        <f t="shared" ref="BO165" si="251">BN165*$AZ165</f>
        <v>108.45</v>
      </c>
      <c r="BQ165" s="57">
        <f t="shared" si="245"/>
        <v>1</v>
      </c>
      <c r="BR165" s="50">
        <f t="shared" si="228"/>
        <v>433.8</v>
      </c>
      <c r="BS165" s="39" t="str">
        <f t="shared" si="202"/>
        <v>OK</v>
      </c>
    </row>
    <row r="166" spans="1:71" ht="30" outlineLevel="1" x14ac:dyDescent="0.25">
      <c r="A166" s="8" t="s">
        <v>24</v>
      </c>
      <c r="B166" s="8" t="s">
        <v>387</v>
      </c>
      <c r="C166" s="8" t="s">
        <v>320</v>
      </c>
      <c r="D166" s="9" t="s">
        <v>213</v>
      </c>
      <c r="E166" s="59" t="s">
        <v>156</v>
      </c>
      <c r="F166" s="59">
        <f>80*0.4</f>
        <v>32</v>
      </c>
      <c r="G166" s="53">
        <v>2.74</v>
      </c>
      <c r="H166" s="53">
        <v>7.56</v>
      </c>
      <c r="I166" s="53">
        <f t="shared" si="229"/>
        <v>10.3</v>
      </c>
      <c r="J166" s="53">
        <f t="shared" si="230"/>
        <v>329.6</v>
      </c>
      <c r="K166" s="58">
        <v>0.27760000000000001</v>
      </c>
      <c r="L166" s="53">
        <f t="shared" si="231"/>
        <v>112.01</v>
      </c>
      <c r="M166" s="53">
        <f t="shared" si="231"/>
        <v>309.07</v>
      </c>
      <c r="N166" s="53">
        <f t="shared" si="232"/>
        <v>421.08</v>
      </c>
      <c r="Z166" s="55">
        <v>0.75</v>
      </c>
      <c r="AA166" s="56">
        <f t="shared" si="233"/>
        <v>315.81</v>
      </c>
      <c r="AB166" s="55">
        <v>0.25</v>
      </c>
      <c r="AC166" s="56">
        <f t="shared" si="234"/>
        <v>105.27</v>
      </c>
      <c r="AE166" s="57">
        <f t="shared" si="235"/>
        <v>1</v>
      </c>
      <c r="AF166" s="50">
        <f t="shared" si="225"/>
        <v>421.08</v>
      </c>
      <c r="AG166" s="39" t="str">
        <f t="shared" si="226"/>
        <v>OK</v>
      </c>
      <c r="AJ166" s="8" t="s">
        <v>24</v>
      </c>
      <c r="AK166" s="8" t="s">
        <v>387</v>
      </c>
      <c r="AL166" s="8" t="s">
        <v>320</v>
      </c>
      <c r="AM166" s="9" t="s">
        <v>213</v>
      </c>
      <c r="AN166" s="59" t="s">
        <v>156</v>
      </c>
      <c r="AO166" s="85">
        <f>80*0.4</f>
        <v>32</v>
      </c>
      <c r="AP166" s="59"/>
      <c r="AQ166" s="59">
        <f t="shared" si="236"/>
        <v>9.1212068058235385</v>
      </c>
      <c r="AR166" s="59">
        <f t="shared" si="237"/>
        <v>2.938081038414313</v>
      </c>
      <c r="AS166" s="59">
        <f t="shared" si="238"/>
        <v>12.059287844237852</v>
      </c>
      <c r="AT166" s="88">
        <v>0.14019999999999999</v>
      </c>
      <c r="AU166" s="59">
        <v>10.4</v>
      </c>
      <c r="AV166" s="59">
        <v>3.35</v>
      </c>
      <c r="AW166" s="52">
        <f t="shared" si="239"/>
        <v>13.75</v>
      </c>
      <c r="AX166" s="53">
        <f t="shared" si="240"/>
        <v>332.8</v>
      </c>
      <c r="AY166" s="53">
        <f t="shared" si="241"/>
        <v>107.2</v>
      </c>
      <c r="AZ166" s="53">
        <f t="shared" si="242"/>
        <v>440</v>
      </c>
      <c r="BL166" s="55">
        <v>0.75</v>
      </c>
      <c r="BM166" s="97">
        <f t="shared" si="243"/>
        <v>330</v>
      </c>
      <c r="BN166" s="55">
        <v>0.25</v>
      </c>
      <c r="BO166" s="97">
        <f t="shared" ref="BO166" si="252">BN166*$AZ166</f>
        <v>110</v>
      </c>
      <c r="BQ166" s="57">
        <f t="shared" si="245"/>
        <v>1</v>
      </c>
      <c r="BR166" s="50">
        <f t="shared" si="228"/>
        <v>440</v>
      </c>
      <c r="BS166" s="39" t="str">
        <f t="shared" si="202"/>
        <v>OK</v>
      </c>
    </row>
    <row r="167" spans="1:71" outlineLevel="1" x14ac:dyDescent="0.25">
      <c r="A167" s="8" t="s">
        <v>24</v>
      </c>
      <c r="B167" s="8" t="s">
        <v>388</v>
      </c>
      <c r="C167" s="8" t="s">
        <v>324</v>
      </c>
      <c r="D167" s="9" t="s">
        <v>216</v>
      </c>
      <c r="E167" s="59" t="s">
        <v>156</v>
      </c>
      <c r="F167" s="59">
        <f>80*0.4</f>
        <v>32</v>
      </c>
      <c r="G167" s="53">
        <v>7.07</v>
      </c>
      <c r="H167" s="53">
        <v>5.34</v>
      </c>
      <c r="I167" s="53">
        <f t="shared" si="229"/>
        <v>12.41</v>
      </c>
      <c r="J167" s="53">
        <f t="shared" si="230"/>
        <v>397.12</v>
      </c>
      <c r="K167" s="58">
        <v>0.27760000000000001</v>
      </c>
      <c r="L167" s="53">
        <f t="shared" si="231"/>
        <v>289.04000000000002</v>
      </c>
      <c r="M167" s="53">
        <f t="shared" si="231"/>
        <v>218.31</v>
      </c>
      <c r="N167" s="53">
        <f t="shared" si="232"/>
        <v>507.35</v>
      </c>
      <c r="Z167" s="55">
        <v>0.75</v>
      </c>
      <c r="AA167" s="56">
        <f t="shared" si="233"/>
        <v>380.51250000000005</v>
      </c>
      <c r="AB167" s="55">
        <v>0.25</v>
      </c>
      <c r="AC167" s="56">
        <f t="shared" si="234"/>
        <v>126.83750000000001</v>
      </c>
      <c r="AE167" s="57">
        <f t="shared" si="235"/>
        <v>1</v>
      </c>
      <c r="AF167" s="50">
        <f t="shared" si="225"/>
        <v>507.35</v>
      </c>
      <c r="AG167" s="39" t="str">
        <f t="shared" si="226"/>
        <v>OK</v>
      </c>
      <c r="AJ167" s="8" t="s">
        <v>24</v>
      </c>
      <c r="AK167" s="8" t="s">
        <v>388</v>
      </c>
      <c r="AL167" s="8" t="s">
        <v>324</v>
      </c>
      <c r="AM167" s="9" t="s">
        <v>216</v>
      </c>
      <c r="AN167" s="59" t="s">
        <v>156</v>
      </c>
      <c r="AO167" s="85">
        <f>80*0.4</f>
        <v>32</v>
      </c>
      <c r="AP167" s="59"/>
      <c r="AQ167" s="59">
        <f t="shared" si="236"/>
        <v>6.4550078933520432</v>
      </c>
      <c r="AR167" s="59">
        <f t="shared" si="237"/>
        <v>7.4197509208910715</v>
      </c>
      <c r="AS167" s="59">
        <f t="shared" si="238"/>
        <v>13.874758814243114</v>
      </c>
      <c r="AT167" s="88">
        <v>0.14019999999999999</v>
      </c>
      <c r="AU167" s="59">
        <v>7.36</v>
      </c>
      <c r="AV167" s="59">
        <v>8.4600000000000009</v>
      </c>
      <c r="AW167" s="52">
        <f t="shared" si="239"/>
        <v>15.82</v>
      </c>
      <c r="AX167" s="53">
        <f t="shared" si="240"/>
        <v>235.52</v>
      </c>
      <c r="AY167" s="53">
        <f t="shared" si="241"/>
        <v>270.72000000000003</v>
      </c>
      <c r="AZ167" s="53">
        <f t="shared" si="242"/>
        <v>506.24</v>
      </c>
      <c r="BL167" s="55">
        <v>0.75</v>
      </c>
      <c r="BM167" s="97">
        <f t="shared" si="243"/>
        <v>379.68</v>
      </c>
      <c r="BN167" s="55">
        <v>0.25</v>
      </c>
      <c r="BO167" s="97">
        <f t="shared" ref="BO167" si="253">BN167*$AZ167</f>
        <v>126.56</v>
      </c>
      <c r="BQ167" s="57">
        <f t="shared" si="245"/>
        <v>1</v>
      </c>
      <c r="BR167" s="50">
        <f t="shared" si="228"/>
        <v>506.24</v>
      </c>
      <c r="BS167" s="39" t="str">
        <f t="shared" si="202"/>
        <v>OK</v>
      </c>
    </row>
    <row r="170" spans="1:71" ht="30" customHeight="1" x14ac:dyDescent="0.25">
      <c r="A170" s="44"/>
      <c r="B170" s="44"/>
      <c r="C170" s="44"/>
      <c r="D170" s="44" t="s">
        <v>404</v>
      </c>
      <c r="E170" s="44"/>
      <c r="F170" s="44"/>
      <c r="G170" s="47"/>
      <c r="H170" s="47"/>
      <c r="I170" s="44"/>
      <c r="J170" s="47" t="e">
        <f>SUM(J7:J169)</f>
        <v>#REF!</v>
      </c>
      <c r="K170" s="72"/>
      <c r="L170" s="47" t="e">
        <f>SUM(L7:L169)</f>
        <v>#REF!</v>
      </c>
      <c r="M170" s="47" t="e">
        <f>SUM(M7:M169)</f>
        <v>#REF!</v>
      </c>
      <c r="N170" s="47" t="e">
        <f>SUM(N7:N169)/2</f>
        <v>#REF!</v>
      </c>
      <c r="Q170" s="73" t="e">
        <f>SUM(Q7:Q167)</f>
        <v>#REF!</v>
      </c>
      <c r="S170" s="74" t="s">
        <v>404</v>
      </c>
      <c r="T170" s="49" t="e">
        <f>U170/$N$170</f>
        <v>#REF!</v>
      </c>
      <c r="U170" s="47">
        <f>SUM(U7:U169)/2</f>
        <v>2478.9180000000001</v>
      </c>
      <c r="V170" s="49" t="e">
        <f>W170/$N$170</f>
        <v>#REF!</v>
      </c>
      <c r="W170" s="47">
        <f>SUM(W7:W169)/2</f>
        <v>0</v>
      </c>
      <c r="X170" s="49" t="e">
        <f>Y170/$N$170</f>
        <v>#REF!</v>
      </c>
      <c r="Y170" s="47" t="e">
        <f>SUM(Y7:Y169)/2</f>
        <v>#REF!</v>
      </c>
      <c r="Z170" s="49" t="e">
        <f>AA170/$N$170</f>
        <v>#REF!</v>
      </c>
      <c r="AA170" s="47" t="e">
        <f>SUM(AA7:AA169)/2</f>
        <v>#REF!</v>
      </c>
      <c r="AB170" s="49" t="e">
        <f>AC170/$N$170</f>
        <v>#REF!</v>
      </c>
      <c r="AC170" s="47" t="e">
        <f>SUM(AC7:AC169)/2</f>
        <v>#REF!</v>
      </c>
      <c r="AF170" s="47" t="e">
        <f>SUM(AF7:AF169)/2</f>
        <v>#REF!</v>
      </c>
      <c r="AJ170" s="44"/>
      <c r="AK170" s="44"/>
      <c r="AL170" s="44"/>
      <c r="AM170" s="44" t="s">
        <v>404</v>
      </c>
      <c r="AN170" s="44"/>
      <c r="AO170" s="44"/>
      <c r="AP170" s="44"/>
      <c r="AQ170" s="44"/>
      <c r="AR170" s="44"/>
      <c r="AS170" s="44"/>
      <c r="AT170" s="72"/>
      <c r="AU170" s="44"/>
      <c r="AV170" s="44"/>
      <c r="AW170" s="44"/>
      <c r="AX170" s="94">
        <f t="shared" ref="AX170" si="254">SUM(AX7:AX169)/2</f>
        <v>26255.986497299997</v>
      </c>
      <c r="AY170" s="94">
        <f>SUM(AY7:AY169)/2-0.01</f>
        <v>277502.70438720018</v>
      </c>
      <c r="AZ170" s="94">
        <f>SUM(AX170:AY170)</f>
        <v>303758.69088450016</v>
      </c>
      <c r="BC170" s="96">
        <f>SUM(BC7:BC167)</f>
        <v>0.29715693512229935</v>
      </c>
      <c r="BE170" s="74" t="s">
        <v>404</v>
      </c>
      <c r="BF170" s="49" t="e">
        <f>BG170/$N$170</f>
        <v>#REF!</v>
      </c>
      <c r="BG170" s="94">
        <f>SUM(BG7:BG169)/2</f>
        <v>2211.1900000000005</v>
      </c>
      <c r="BH170" s="49" t="e">
        <f>BI170/$N$170</f>
        <v>#REF!</v>
      </c>
      <c r="BI170" s="94">
        <f>SUM(BI7:BI169)/2</f>
        <v>0</v>
      </c>
      <c r="BJ170" s="49" t="e">
        <f>BK170/$N$170</f>
        <v>#REF!</v>
      </c>
      <c r="BK170" s="94">
        <f>SUM(BK7:BK169)/2-0.01</f>
        <v>106443.17680000003</v>
      </c>
      <c r="BL170" s="49" t="e">
        <f>BM170/$N$170</f>
        <v>#REF!</v>
      </c>
      <c r="BM170" s="94">
        <f>SUM(BM7:BM169)/2</f>
        <v>99092.051063374995</v>
      </c>
      <c r="BN170" s="49" t="e">
        <f>BO170/$N$170</f>
        <v>#REF!</v>
      </c>
      <c r="BO170" s="94">
        <f>SUM(BO7:BO169)/2</f>
        <v>96012.273021124973</v>
      </c>
      <c r="BR170" s="47">
        <f>SUM(BR7:BR169)/2</f>
        <v>303758.70088449982</v>
      </c>
    </row>
    <row r="171" spans="1:71" x14ac:dyDescent="0.25">
      <c r="L171" s="75" t="e">
        <f>L170/$N$170</f>
        <v>#REF!</v>
      </c>
      <c r="M171" s="75" t="e">
        <f>M170/$N$170</f>
        <v>#REF!</v>
      </c>
      <c r="N171" s="75" t="e">
        <f>N170/$N$170</f>
        <v>#REF!</v>
      </c>
      <c r="T171" s="76"/>
      <c r="V171" s="76"/>
      <c r="X171" s="76"/>
      <c r="Z171" s="76"/>
      <c r="AB171" s="76"/>
      <c r="BF171" s="76"/>
      <c r="BH171" s="76"/>
      <c r="BJ171" s="76"/>
      <c r="BL171" s="76"/>
      <c r="BN171" s="76"/>
    </row>
    <row r="172" spans="1:71" ht="45" x14ac:dyDescent="0.25">
      <c r="S172" s="77" t="s">
        <v>405</v>
      </c>
      <c r="T172" s="49" t="e">
        <f>T170</f>
        <v>#REF!</v>
      </c>
      <c r="U172" s="47">
        <f>U170</f>
        <v>2478.9180000000001</v>
      </c>
      <c r="V172" s="49" t="e">
        <f>V170</f>
        <v>#REF!</v>
      </c>
      <c r="W172" s="47">
        <f>W170+U172</f>
        <v>2478.9180000000001</v>
      </c>
      <c r="X172" s="49" t="e">
        <f>X170+T172</f>
        <v>#REF!</v>
      </c>
      <c r="Y172" s="47" t="e">
        <f>Y170+W172</f>
        <v>#REF!</v>
      </c>
      <c r="Z172" s="49" t="e">
        <f t="shared" ref="Z172:AC172" si="255">Z170+X172</f>
        <v>#REF!</v>
      </c>
      <c r="AA172" s="47" t="e">
        <f t="shared" si="255"/>
        <v>#REF!</v>
      </c>
      <c r="AB172" s="49" t="e">
        <f t="shared" si="255"/>
        <v>#REF!</v>
      </c>
      <c r="AC172" s="47" t="e">
        <f t="shared" si="255"/>
        <v>#REF!</v>
      </c>
      <c r="BE172" s="77" t="s">
        <v>405</v>
      </c>
      <c r="BF172" s="49" t="e">
        <f>BF170</f>
        <v>#REF!</v>
      </c>
      <c r="BG172" s="94">
        <f>BG170</f>
        <v>2211.1900000000005</v>
      </c>
      <c r="BH172" s="49" t="e">
        <f>BH170</f>
        <v>#REF!</v>
      </c>
      <c r="BI172" s="94">
        <f>BI170+BG172</f>
        <v>2211.1900000000005</v>
      </c>
      <c r="BJ172" s="49" t="e">
        <f>BJ170+BF172</f>
        <v>#REF!</v>
      </c>
      <c r="BK172" s="94">
        <f>BK170+BI172</f>
        <v>108654.36680000003</v>
      </c>
      <c r="BL172" s="49" t="e">
        <f t="shared" ref="BL172" si="256">BL170+BJ172</f>
        <v>#REF!</v>
      </c>
      <c r="BM172" s="94">
        <f t="shared" ref="BM172" si="257">BM170+BK172</f>
        <v>207746.41786337504</v>
      </c>
      <c r="BN172" s="49" t="e">
        <f t="shared" ref="BN172" si="258">BN170+BL172</f>
        <v>#REF!</v>
      </c>
      <c r="BO172" s="94">
        <f t="shared" ref="BO172" si="259">BO170+BM172</f>
        <v>303758.69088450004</v>
      </c>
    </row>
    <row r="178" spans="13:67" x14ac:dyDescent="0.25">
      <c r="M178" s="50" t="e">
        <f>L170+M170</f>
        <v>#REF!</v>
      </c>
      <c r="N178" s="39" t="e">
        <f>IF(N170=M178,"OK","REVISAR")</f>
        <v>#REF!</v>
      </c>
      <c r="AC178" s="39" t="e">
        <f>IF(AC172=M178,"OK","REVISAR")</f>
        <v>#REF!</v>
      </c>
      <c r="BO178" s="39" t="e">
        <f>IF(BO172=#REF!,"OK","REVISAR")</f>
        <v>#REF!</v>
      </c>
    </row>
  </sheetData>
  <conditionalFormatting sqref="M178">
    <cfRule type="cellIs" dxfId="90" priority="74" operator="notEqual">
      <formula>$N$170</formula>
    </cfRule>
    <cfRule type="cellIs" dxfId="89" priority="75" operator="equal">
      <formula>$N$170</formula>
    </cfRule>
  </conditionalFormatting>
  <conditionalFormatting sqref="AF81:AF120 AF126:AF156">
    <cfRule type="cellIs" dxfId="88" priority="58" operator="notEqual">
      <formula>$N81</formula>
    </cfRule>
    <cfRule type="cellIs" dxfId="87" priority="59" operator="equal">
      <formula>$N81</formula>
    </cfRule>
  </conditionalFormatting>
  <conditionalFormatting sqref="AF8:AF25">
    <cfRule type="cellIs" dxfId="86" priority="72" operator="notEqual">
      <formula>$N8</formula>
    </cfRule>
    <cfRule type="cellIs" dxfId="85" priority="73" operator="equal">
      <formula>$N8</formula>
    </cfRule>
  </conditionalFormatting>
  <conditionalFormatting sqref="AF123">
    <cfRule type="cellIs" dxfId="84" priority="70" operator="notEqual">
      <formula>$N123</formula>
    </cfRule>
    <cfRule type="cellIs" dxfId="83" priority="71" operator="equal">
      <formula>$N123</formula>
    </cfRule>
  </conditionalFormatting>
  <conditionalFormatting sqref="AF159:AF167">
    <cfRule type="cellIs" dxfId="82" priority="68" operator="notEqual">
      <formula>$N159</formula>
    </cfRule>
    <cfRule type="cellIs" dxfId="81" priority="69" operator="equal">
      <formula>$N159</formula>
    </cfRule>
  </conditionalFormatting>
  <conditionalFormatting sqref="AF28:AF35">
    <cfRule type="cellIs" dxfId="80" priority="66" operator="notEqual">
      <formula>$N28</formula>
    </cfRule>
    <cfRule type="cellIs" dxfId="79" priority="67" operator="equal">
      <formula>$N28</formula>
    </cfRule>
  </conditionalFormatting>
  <conditionalFormatting sqref="AF38:AF45">
    <cfRule type="cellIs" dxfId="78" priority="64" operator="notEqual">
      <formula>$N38</formula>
    </cfRule>
    <cfRule type="cellIs" dxfId="77" priority="65" operator="equal">
      <formula>$N38</formula>
    </cfRule>
  </conditionalFormatting>
  <conditionalFormatting sqref="AF48:AF57">
    <cfRule type="cellIs" dxfId="76" priority="62" operator="notEqual">
      <formula>$N48</formula>
    </cfRule>
    <cfRule type="cellIs" dxfId="75" priority="63" operator="equal">
      <formula>$N48</formula>
    </cfRule>
  </conditionalFormatting>
  <conditionalFormatting sqref="AF60:AF78">
    <cfRule type="cellIs" dxfId="74" priority="60" operator="notEqual">
      <formula>$N60</formula>
    </cfRule>
    <cfRule type="cellIs" dxfId="73" priority="61" operator="equal">
      <formula>$N60</formula>
    </cfRule>
  </conditionalFormatting>
  <conditionalFormatting sqref="AF158">
    <cfRule type="cellIs" dxfId="72" priority="56" operator="notEqual">
      <formula>$N158</formula>
    </cfRule>
    <cfRule type="cellIs" dxfId="71" priority="57" operator="equal">
      <formula>$N158</formula>
    </cfRule>
  </conditionalFormatting>
  <conditionalFormatting sqref="AF125">
    <cfRule type="cellIs" dxfId="70" priority="54" operator="notEqual">
      <formula>$N125</formula>
    </cfRule>
    <cfRule type="cellIs" dxfId="69" priority="55" operator="equal">
      <formula>$N125</formula>
    </cfRule>
  </conditionalFormatting>
  <conditionalFormatting sqref="AF122">
    <cfRule type="cellIs" dxfId="68" priority="52" operator="notEqual">
      <formula>$N122</formula>
    </cfRule>
    <cfRule type="cellIs" dxfId="67" priority="53" operator="equal">
      <formula>$N122</formula>
    </cfRule>
  </conditionalFormatting>
  <conditionalFormatting sqref="AF80">
    <cfRule type="cellIs" dxfId="66" priority="50" operator="notEqual">
      <formula>$N80</formula>
    </cfRule>
    <cfRule type="cellIs" dxfId="65" priority="51" operator="equal">
      <formula>$N80</formula>
    </cfRule>
  </conditionalFormatting>
  <conditionalFormatting sqref="AF59">
    <cfRule type="cellIs" dxfId="64" priority="48" operator="notEqual">
      <formula>$N59</formula>
    </cfRule>
    <cfRule type="cellIs" dxfId="63" priority="49" operator="equal">
      <formula>$N59</formula>
    </cfRule>
  </conditionalFormatting>
  <conditionalFormatting sqref="AF47">
    <cfRule type="cellIs" dxfId="62" priority="46" operator="notEqual">
      <formula>$N47</formula>
    </cfRule>
    <cfRule type="cellIs" dxfId="61" priority="47" operator="equal">
      <formula>$N47</formula>
    </cfRule>
  </conditionalFormatting>
  <conditionalFormatting sqref="AF37">
    <cfRule type="cellIs" dxfId="60" priority="44" operator="notEqual">
      <formula>$N37</formula>
    </cfRule>
    <cfRule type="cellIs" dxfId="59" priority="45" operator="equal">
      <formula>$N37</formula>
    </cfRule>
  </conditionalFormatting>
  <conditionalFormatting sqref="AF27">
    <cfRule type="cellIs" dxfId="58" priority="42" operator="notEqual">
      <formula>$N27</formula>
    </cfRule>
    <cfRule type="cellIs" dxfId="57" priority="43" operator="equal">
      <formula>$N27</formula>
    </cfRule>
  </conditionalFormatting>
  <conditionalFormatting sqref="AF7">
    <cfRule type="cellIs" dxfId="56" priority="40" operator="notEqual">
      <formula>$N7</formula>
    </cfRule>
    <cfRule type="cellIs" dxfId="55" priority="41" operator="equal">
      <formula>$N7</formula>
    </cfRule>
  </conditionalFormatting>
  <conditionalFormatting sqref="BS1:BS1048576">
    <cfRule type="cellIs" dxfId="54" priority="1" operator="equal">
      <formula>"OK"</formula>
    </cfRule>
  </conditionalFormatting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14" sqref="H14"/>
    </sheetView>
  </sheetViews>
  <sheetFormatPr defaultRowHeight="15" x14ac:dyDescent="0.25"/>
  <sheetData>
    <row r="1" spans="1:1" x14ac:dyDescent="0.25">
      <c r="A1" t="s">
        <v>582</v>
      </c>
    </row>
    <row r="3" spans="1:1" x14ac:dyDescent="0.25">
      <c r="A3" t="s">
        <v>583</v>
      </c>
    </row>
    <row r="5" spans="1:1" x14ac:dyDescent="0.25">
      <c r="A5" t="s">
        <v>584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zoomScale="70" zoomScaleNormal="70" workbookViewId="0">
      <pane xSplit="3" ySplit="5" topLeftCell="D6" activePane="bottomRight" state="frozen"/>
      <selection pane="topRight" activeCell="E1" sqref="E1"/>
      <selection pane="bottomLeft" activeCell="A3" sqref="A3"/>
      <selection pane="bottomRight" activeCell="M41" sqref="A1:M41"/>
    </sheetView>
  </sheetViews>
  <sheetFormatPr defaultRowHeight="15" outlineLevelRow="1" x14ac:dyDescent="0.25"/>
  <cols>
    <col min="1" max="1" width="6.7109375" style="3" bestFit="1" customWidth="1"/>
    <col min="2" max="2" width="17.28515625" style="138" customWidth="1"/>
    <col min="3" max="3" width="69.28515625" style="3" customWidth="1"/>
    <col min="4" max="4" width="11.140625" style="3" bestFit="1" customWidth="1"/>
    <col min="5" max="5" width="16" style="3" bestFit="1" customWidth="1"/>
    <col min="6" max="7" width="16" style="3" customWidth="1"/>
    <col min="8" max="8" width="13.42578125" style="3" customWidth="1"/>
    <col min="9" max="9" width="15.7109375" style="3" customWidth="1"/>
    <col min="10" max="10" width="9.140625" style="3"/>
    <col min="11" max="11" width="13.5703125" style="3" customWidth="1"/>
    <col min="12" max="12" width="13.85546875" style="3" customWidth="1"/>
    <col min="13" max="13" width="15.85546875" style="3" customWidth="1"/>
    <col min="14" max="14" width="2.7109375" style="3" customWidth="1"/>
    <col min="15" max="15" width="7.140625" style="3" bestFit="1" customWidth="1"/>
    <col min="16" max="16" width="18.140625" style="3" customWidth="1"/>
    <col min="17" max="17" width="2.7109375" style="3" customWidth="1"/>
    <col min="18" max="18" width="12.28515625" style="3" customWidth="1"/>
    <col min="19" max="19" width="9.140625" style="3"/>
    <col min="20" max="20" width="13.85546875" style="3" bestFit="1" customWidth="1"/>
    <col min="21" max="21" width="9.140625" style="3"/>
    <col min="22" max="22" width="14.42578125" style="3" bestFit="1" customWidth="1"/>
    <col min="23" max="23" width="9.140625" style="3"/>
    <col min="24" max="24" width="15.140625" style="3" customWidth="1"/>
    <col min="25" max="25" width="9.140625" style="3"/>
    <col min="26" max="26" width="14.42578125" style="3" bestFit="1" customWidth="1"/>
    <col min="27" max="27" width="3.42578125" style="3" customWidth="1"/>
    <col min="28" max="28" width="9.140625" style="3"/>
    <col min="29" max="29" width="13.85546875" style="3" bestFit="1" customWidth="1"/>
    <col min="30" max="30" width="11.7109375" style="3" bestFit="1" customWidth="1"/>
    <col min="31" max="16384" width="9.140625" style="3"/>
  </cols>
  <sheetData>
    <row r="1" spans="1:30" ht="15.75" thickBot="1" x14ac:dyDescent="0.3"/>
    <row r="2" spans="1:30" ht="15.75" thickBot="1" x14ac:dyDescent="0.3">
      <c r="C2" s="163" t="s">
        <v>580</v>
      </c>
      <c r="S2" s="134" t="s">
        <v>497</v>
      </c>
      <c r="T2" s="133"/>
      <c r="U2" s="131"/>
      <c r="V2" s="131"/>
      <c r="W2" s="131"/>
      <c r="X2" s="131"/>
      <c r="Y2" s="131"/>
      <c r="Z2" s="132"/>
    </row>
    <row r="4" spans="1:30" ht="15.75" thickBot="1" x14ac:dyDescent="0.3">
      <c r="S4" s="22" t="s">
        <v>395</v>
      </c>
      <c r="T4" s="23"/>
      <c r="U4" s="22" t="s">
        <v>396</v>
      </c>
      <c r="V4" s="23"/>
      <c r="W4" s="22" t="s">
        <v>397</v>
      </c>
      <c r="X4" s="23"/>
      <c r="Y4" s="22" t="s">
        <v>398</v>
      </c>
      <c r="Z4" s="23"/>
      <c r="AB4" s="24" t="s">
        <v>399</v>
      </c>
      <c r="AC4" s="25"/>
    </row>
    <row r="5" spans="1:30" ht="75.75" thickBot="1" x14ac:dyDescent="0.3">
      <c r="A5" s="1" t="s">
        <v>1</v>
      </c>
      <c r="B5" s="98" t="s">
        <v>2</v>
      </c>
      <c r="C5" s="100" t="s">
        <v>417</v>
      </c>
      <c r="D5" s="99" t="s">
        <v>4</v>
      </c>
      <c r="E5" s="2" t="s">
        <v>5</v>
      </c>
      <c r="F5" s="10" t="s">
        <v>247</v>
      </c>
      <c r="G5" s="10" t="s">
        <v>224</v>
      </c>
      <c r="H5" s="10" t="s">
        <v>226</v>
      </c>
      <c r="I5" s="10" t="s">
        <v>223</v>
      </c>
      <c r="J5" s="10" t="s">
        <v>225</v>
      </c>
      <c r="K5" s="10" t="s">
        <v>227</v>
      </c>
      <c r="L5" s="10" t="s">
        <v>228</v>
      </c>
      <c r="M5" s="10" t="s">
        <v>229</v>
      </c>
      <c r="P5" s="30" t="s">
        <v>403</v>
      </c>
      <c r="S5" s="21" t="s">
        <v>393</v>
      </c>
      <c r="T5" s="21" t="s">
        <v>394</v>
      </c>
      <c r="U5" s="21" t="s">
        <v>393</v>
      </c>
      <c r="V5" s="21" t="s">
        <v>394</v>
      </c>
      <c r="W5" s="21" t="s">
        <v>393</v>
      </c>
      <c r="X5" s="21" t="s">
        <v>394</v>
      </c>
      <c r="Y5" s="21" t="s">
        <v>393</v>
      </c>
      <c r="Z5" s="21" t="s">
        <v>394</v>
      </c>
      <c r="AB5" s="26" t="s">
        <v>393</v>
      </c>
      <c r="AC5" s="26" t="s">
        <v>394</v>
      </c>
    </row>
    <row r="7" spans="1:30" x14ac:dyDescent="0.25">
      <c r="A7" s="5" t="s">
        <v>419</v>
      </c>
      <c r="B7" s="5"/>
      <c r="C7" s="4" t="s">
        <v>420</v>
      </c>
      <c r="D7" s="5"/>
      <c r="E7" s="6"/>
      <c r="F7" s="6"/>
      <c r="G7" s="6"/>
      <c r="H7" s="7"/>
      <c r="I7" s="7"/>
      <c r="J7" s="7"/>
      <c r="K7" s="7"/>
      <c r="L7" s="7"/>
      <c r="M7" s="7">
        <f>SUM(M8:M12)</f>
        <v>29258.620000000003</v>
      </c>
      <c r="O7" s="20"/>
      <c r="P7" s="20"/>
      <c r="S7" s="32">
        <f>T7/$M$40</f>
        <v>1.0187690175888598E-2</v>
      </c>
      <c r="T7" s="7">
        <f>SUM(T8:T12)</f>
        <v>4927.42</v>
      </c>
      <c r="U7" s="32">
        <f>V7/$M$40</f>
        <v>1.6766966992174944E-2</v>
      </c>
      <c r="V7" s="7">
        <f>SUM(V8:V12)</f>
        <v>8109.58</v>
      </c>
      <c r="W7" s="32">
        <f>X7/$M$40</f>
        <v>1.6766966992174944E-2</v>
      </c>
      <c r="X7" s="7">
        <f>SUM(X8:X12)</f>
        <v>8109.58</v>
      </c>
      <c r="Y7" s="32">
        <f>Z7/$M$40</f>
        <v>1.6772053166650164E-2</v>
      </c>
      <c r="Z7" s="7">
        <f>SUM(Z8:Z12)</f>
        <v>8112.0400000000009</v>
      </c>
      <c r="AB7" s="27">
        <f t="shared" ref="AB7" si="0">SUM(S7,U7,W7,Y7)</f>
        <v>6.0493677326888651E-2</v>
      </c>
      <c r="AC7" s="11">
        <f t="shared" ref="AC7:AC12" si="1">SUM(T7,V7,X7,Z7)</f>
        <v>29258.620000000003</v>
      </c>
      <c r="AD7" s="3" t="str">
        <f t="shared" ref="AD7:AD12" si="2">IF(AC7=M7,"OK","VERIFICAR")</f>
        <v>OK</v>
      </c>
    </row>
    <row r="8" spans="1:30" outlineLevel="1" x14ac:dyDescent="0.25">
      <c r="A8" s="8" t="s">
        <v>7</v>
      </c>
      <c r="B8" s="8" t="s">
        <v>421</v>
      </c>
      <c r="C8" s="9" t="s">
        <v>422</v>
      </c>
      <c r="D8" s="51" t="s">
        <v>9</v>
      </c>
      <c r="E8" s="52">
        <v>2</v>
      </c>
      <c r="F8" s="53">
        <v>233.94</v>
      </c>
      <c r="G8" s="53">
        <v>0</v>
      </c>
      <c r="H8" s="53">
        <f>F8+G8</f>
        <v>233.94</v>
      </c>
      <c r="I8" s="53">
        <f t="shared" ref="I8:I12" si="3">TRUNC(H8*E8,2)</f>
        <v>467.88</v>
      </c>
      <c r="J8" s="58">
        <v>0.21129999999999999</v>
      </c>
      <c r="K8" s="53">
        <f>TRUNC($E8*F8*(1+$J8),2)</f>
        <v>566.74</v>
      </c>
      <c r="L8" s="53">
        <f>TRUNC($E8*G8*(1+$J8),2)</f>
        <v>0</v>
      </c>
      <c r="M8" s="53">
        <f>L8+K8</f>
        <v>566.74</v>
      </c>
      <c r="O8" s="20"/>
      <c r="S8" s="162">
        <v>1</v>
      </c>
      <c r="T8" s="161">
        <f>TRUNC(S8*$M8,2)</f>
        <v>566.74</v>
      </c>
      <c r="U8" s="123"/>
      <c r="V8" s="123"/>
      <c r="W8" s="123"/>
      <c r="X8" s="123"/>
      <c r="Y8" s="123"/>
      <c r="Z8" s="123"/>
      <c r="AB8" s="27">
        <f t="shared" ref="AB8:AB12" si="4">SUM(S8,U8,W8,Y8)</f>
        <v>1</v>
      </c>
      <c r="AC8" s="11">
        <f t="shared" si="1"/>
        <v>566.74</v>
      </c>
      <c r="AD8" s="3" t="str">
        <f t="shared" si="2"/>
        <v>OK</v>
      </c>
    </row>
    <row r="9" spans="1:30" outlineLevel="1" x14ac:dyDescent="0.25">
      <c r="A9" s="8" t="s">
        <v>10</v>
      </c>
      <c r="B9" s="8" t="s">
        <v>498</v>
      </c>
      <c r="C9" s="9" t="s">
        <v>423</v>
      </c>
      <c r="D9" s="51" t="s">
        <v>424</v>
      </c>
      <c r="E9" s="52">
        <v>3</v>
      </c>
      <c r="F9" s="53">
        <v>272.70999999999998</v>
      </c>
      <c r="G9" s="53">
        <v>2926.11</v>
      </c>
      <c r="H9" s="53">
        <f t="shared" ref="H9:H12" si="5">F9+G9</f>
        <v>3198.82</v>
      </c>
      <c r="I9" s="53">
        <f t="shared" si="3"/>
        <v>9596.4599999999991</v>
      </c>
      <c r="J9" s="58">
        <v>0.21129999999999999</v>
      </c>
      <c r="K9" s="53">
        <f t="shared" ref="K9:L12" si="6">TRUNC($E9*F9*(1+$J9),2)</f>
        <v>991</v>
      </c>
      <c r="L9" s="53">
        <f t="shared" si="6"/>
        <v>10633.19</v>
      </c>
      <c r="M9" s="53">
        <f t="shared" ref="M9:M12" si="7">L9+K9</f>
        <v>11624.19</v>
      </c>
      <c r="O9" s="20"/>
      <c r="P9" s="20"/>
      <c r="S9" s="125"/>
      <c r="T9" s="126"/>
      <c r="U9" s="162">
        <v>0.33329999999999999</v>
      </c>
      <c r="V9" s="161">
        <f>TRUNC(U9*$M9,2)</f>
        <v>3874.34</v>
      </c>
      <c r="W9" s="162">
        <v>0.33329999999999999</v>
      </c>
      <c r="X9" s="161">
        <f>TRUNC(W9*$M9,2)</f>
        <v>3874.34</v>
      </c>
      <c r="Y9" s="162">
        <v>0.33339999999999997</v>
      </c>
      <c r="Z9" s="161">
        <f>TRUNC(Y9*$M9,2)+0.01</f>
        <v>3875.51</v>
      </c>
      <c r="AB9" s="27">
        <f t="shared" si="4"/>
        <v>1</v>
      </c>
      <c r="AC9" s="11">
        <f t="shared" si="1"/>
        <v>11624.19</v>
      </c>
      <c r="AD9" s="3" t="str">
        <f t="shared" si="2"/>
        <v>OK</v>
      </c>
    </row>
    <row r="10" spans="1:30" ht="30" outlineLevel="1" x14ac:dyDescent="0.25">
      <c r="A10" s="8" t="s">
        <v>11</v>
      </c>
      <c r="B10" s="68" t="s">
        <v>513</v>
      </c>
      <c r="C10" s="9" t="s">
        <v>425</v>
      </c>
      <c r="D10" s="51" t="s">
        <v>9</v>
      </c>
      <c r="E10" s="52">
        <v>1</v>
      </c>
      <c r="F10" s="53">
        <v>0</v>
      </c>
      <c r="G10" s="53">
        <v>1800</v>
      </c>
      <c r="H10" s="53">
        <f t="shared" si="5"/>
        <v>1800</v>
      </c>
      <c r="I10" s="53">
        <f t="shared" si="3"/>
        <v>1800</v>
      </c>
      <c r="J10" s="58">
        <v>0.21129999999999999</v>
      </c>
      <c r="K10" s="53">
        <f t="shared" si="6"/>
        <v>0</v>
      </c>
      <c r="L10" s="53">
        <f t="shared" si="6"/>
        <v>2180.34</v>
      </c>
      <c r="M10" s="53">
        <f t="shared" si="7"/>
        <v>2180.34</v>
      </c>
      <c r="P10" s="20"/>
      <c r="S10" s="162">
        <v>1</v>
      </c>
      <c r="T10" s="161">
        <f t="shared" ref="T10:T11" si="8">TRUNC(S10*$M10,2)</f>
        <v>2180.34</v>
      </c>
      <c r="U10" s="123"/>
      <c r="V10" s="123"/>
      <c r="W10" s="123"/>
      <c r="X10" s="123"/>
      <c r="Y10" s="123"/>
      <c r="Z10" s="123"/>
      <c r="AB10" s="27">
        <f t="shared" si="4"/>
        <v>1</v>
      </c>
      <c r="AC10" s="11">
        <f t="shared" si="1"/>
        <v>2180.34</v>
      </c>
      <c r="AD10" s="3" t="str">
        <f t="shared" si="2"/>
        <v>OK</v>
      </c>
    </row>
    <row r="11" spans="1:30" ht="30" outlineLevel="1" x14ac:dyDescent="0.25">
      <c r="A11" s="8" t="s">
        <v>13</v>
      </c>
      <c r="B11" s="68" t="s">
        <v>514</v>
      </c>
      <c r="C11" s="9" t="s">
        <v>426</v>
      </c>
      <c r="D11" s="51" t="s">
        <v>9</v>
      </c>
      <c r="E11" s="52">
        <v>1</v>
      </c>
      <c r="F11" s="53">
        <v>0</v>
      </c>
      <c r="G11" s="53">
        <v>1800</v>
      </c>
      <c r="H11" s="53">
        <f t="shared" si="5"/>
        <v>1800</v>
      </c>
      <c r="I11" s="53">
        <f t="shared" si="3"/>
        <v>1800</v>
      </c>
      <c r="J11" s="58">
        <v>0.21129999999999999</v>
      </c>
      <c r="K11" s="53">
        <f t="shared" si="6"/>
        <v>0</v>
      </c>
      <c r="L11" s="53">
        <f t="shared" si="6"/>
        <v>2180.34</v>
      </c>
      <c r="M11" s="53">
        <f t="shared" si="7"/>
        <v>2180.34</v>
      </c>
      <c r="S11" s="162">
        <v>1</v>
      </c>
      <c r="T11" s="161">
        <f t="shared" si="8"/>
        <v>2180.34</v>
      </c>
      <c r="U11" s="123"/>
      <c r="V11" s="123"/>
      <c r="W11" s="123"/>
      <c r="X11" s="123"/>
      <c r="Y11" s="123"/>
      <c r="Z11" s="123"/>
      <c r="AB11" s="27">
        <f t="shared" si="4"/>
        <v>1</v>
      </c>
      <c r="AC11" s="11">
        <f t="shared" si="1"/>
        <v>2180.34</v>
      </c>
      <c r="AD11" s="3" t="str">
        <f t="shared" si="2"/>
        <v>OK</v>
      </c>
    </row>
    <row r="12" spans="1:30" ht="30" outlineLevel="1" x14ac:dyDescent="0.25">
      <c r="A12" s="8" t="s">
        <v>15</v>
      </c>
      <c r="B12" s="8" t="s">
        <v>500</v>
      </c>
      <c r="C12" s="9" t="s">
        <v>472</v>
      </c>
      <c r="D12" s="51" t="s">
        <v>378</v>
      </c>
      <c r="E12" s="59">
        <f>2*5*4*3</f>
        <v>120</v>
      </c>
      <c r="F12" s="53">
        <v>1</v>
      </c>
      <c r="G12" s="53">
        <v>86.42</v>
      </c>
      <c r="H12" s="53">
        <f t="shared" si="5"/>
        <v>87.42</v>
      </c>
      <c r="I12" s="53">
        <f t="shared" si="3"/>
        <v>10490.4</v>
      </c>
      <c r="J12" s="58">
        <v>0.21129999999999999</v>
      </c>
      <c r="K12" s="53">
        <f t="shared" si="6"/>
        <v>145.35</v>
      </c>
      <c r="L12" s="53">
        <f t="shared" si="6"/>
        <v>12561.66</v>
      </c>
      <c r="M12" s="53">
        <f t="shared" si="7"/>
        <v>12707.01</v>
      </c>
      <c r="S12" s="125"/>
      <c r="T12" s="126"/>
      <c r="U12" s="162">
        <v>0.33329999999999999</v>
      </c>
      <c r="V12" s="161">
        <f>TRUNC(U12*$M12,2)</f>
        <v>4235.24</v>
      </c>
      <c r="W12" s="162">
        <v>0.33329999999999999</v>
      </c>
      <c r="X12" s="161">
        <f>TRUNC(W12*$M12,2)</f>
        <v>4235.24</v>
      </c>
      <c r="Y12" s="162">
        <v>0.33339999999999997</v>
      </c>
      <c r="Z12" s="161">
        <f>TRUNC(Y12*$M12,2)+0.02</f>
        <v>4236.5300000000007</v>
      </c>
      <c r="AB12" s="27">
        <f t="shared" si="4"/>
        <v>1</v>
      </c>
      <c r="AC12" s="11">
        <f t="shared" si="1"/>
        <v>12707.01</v>
      </c>
      <c r="AD12" s="3" t="str">
        <f t="shared" si="2"/>
        <v>OK</v>
      </c>
    </row>
    <row r="13" spans="1:30" x14ac:dyDescent="0.25">
      <c r="C13" s="17"/>
      <c r="S13" s="123"/>
      <c r="T13" s="123"/>
      <c r="U13" s="123"/>
      <c r="V13" s="123"/>
      <c r="W13" s="123"/>
      <c r="X13" s="123"/>
      <c r="Y13" s="123"/>
      <c r="Z13" s="123"/>
    </row>
    <row r="14" spans="1:30" x14ac:dyDescent="0.25">
      <c r="A14" s="5" t="s">
        <v>427</v>
      </c>
      <c r="B14" s="5"/>
      <c r="C14" s="18" t="s">
        <v>551</v>
      </c>
      <c r="D14" s="5"/>
      <c r="E14" s="6"/>
      <c r="F14" s="6"/>
      <c r="G14" s="6"/>
      <c r="H14" s="7"/>
      <c r="I14" s="7"/>
      <c r="J14" s="7"/>
      <c r="K14" s="7"/>
      <c r="L14" s="7"/>
      <c r="M14" s="7">
        <f>SUM(M15:M23)</f>
        <v>11444.53</v>
      </c>
      <c r="O14" s="20"/>
      <c r="P14" s="20"/>
      <c r="S14" s="32">
        <f>T14/$M$40</f>
        <v>8.2827731063769266E-3</v>
      </c>
      <c r="T14" s="7">
        <f>SUM(T15:T23)</f>
        <v>4006.08</v>
      </c>
      <c r="U14" s="32">
        <f>V14/$M$40</f>
        <v>7.4144225300161841E-3</v>
      </c>
      <c r="V14" s="7">
        <f>SUM(V15:V23)</f>
        <v>3586.09</v>
      </c>
      <c r="W14" s="32">
        <f>X14/$M$40</f>
        <v>5.5572865548631804E-3</v>
      </c>
      <c r="X14" s="7">
        <f>SUM(X15:X23)</f>
        <v>2687.86</v>
      </c>
      <c r="Y14" s="32">
        <f>Z14/$M$40</f>
        <v>2.4076626733305203E-3</v>
      </c>
      <c r="Z14" s="7">
        <f>SUM(Z15:Z23)</f>
        <v>1164.5</v>
      </c>
      <c r="AB14" s="27">
        <f t="shared" ref="AB14:AC23" si="9">SUM(S14,U14,W14,Y14)</f>
        <v>2.3662144864586811E-2</v>
      </c>
      <c r="AC14" s="11">
        <f t="shared" si="9"/>
        <v>11444.53</v>
      </c>
      <c r="AD14" s="3" t="str">
        <f t="shared" ref="AD14" si="10">IF(AC14=M14,"OK","VERIFICAR")</f>
        <v>OK</v>
      </c>
    </row>
    <row r="15" spans="1:30" x14ac:dyDescent="0.25">
      <c r="A15" s="8" t="s">
        <v>37</v>
      </c>
      <c r="B15" s="8"/>
      <c r="C15" s="9" t="s">
        <v>429</v>
      </c>
      <c r="D15" s="59" t="s">
        <v>149</v>
      </c>
      <c r="E15" s="59">
        <v>2</v>
      </c>
      <c r="F15" s="53">
        <v>158.06</v>
      </c>
      <c r="G15" s="53">
        <v>217.52</v>
      </c>
      <c r="H15" s="53">
        <f>G15+F15</f>
        <v>375.58000000000004</v>
      </c>
      <c r="I15" s="53">
        <f>H15*E15</f>
        <v>751.16000000000008</v>
      </c>
      <c r="J15" s="58">
        <v>0.21129999999999999</v>
      </c>
      <c r="K15" s="53">
        <f t="shared" ref="K15:L22" si="11">TRUNC($E15*F15*(1+$J15),2)</f>
        <v>382.91</v>
      </c>
      <c r="L15" s="53">
        <f t="shared" si="11"/>
        <v>526.96</v>
      </c>
      <c r="M15" s="53">
        <f t="shared" ref="M15:M22" si="12">L15+K15</f>
        <v>909.87000000000012</v>
      </c>
      <c r="O15" s="20"/>
      <c r="P15" s="11"/>
      <c r="S15" s="162">
        <v>0.5</v>
      </c>
      <c r="T15" s="161">
        <f t="shared" ref="T15:T16" si="13">TRUNC(S15*$M15,2)</f>
        <v>454.93</v>
      </c>
      <c r="U15" s="128"/>
      <c r="V15" s="129"/>
      <c r="W15" s="128"/>
      <c r="X15" s="129"/>
      <c r="Y15" s="162">
        <v>0.5</v>
      </c>
      <c r="Z15" s="161">
        <f>TRUNC(Y15*$M15,2)+0.01</f>
        <v>454.94</v>
      </c>
      <c r="AB15" s="27">
        <f t="shared" si="9"/>
        <v>1</v>
      </c>
      <c r="AC15" s="11">
        <f t="shared" si="9"/>
        <v>909.87</v>
      </c>
    </row>
    <row r="16" spans="1:30" x14ac:dyDescent="0.25">
      <c r="A16" s="8" t="s">
        <v>39</v>
      </c>
      <c r="B16" s="8" t="s">
        <v>317</v>
      </c>
      <c r="C16" s="9" t="s">
        <v>509</v>
      </c>
      <c r="D16" s="59" t="s">
        <v>430</v>
      </c>
      <c r="E16" s="59">
        <f>17.54*2</f>
        <v>35.08</v>
      </c>
      <c r="F16" s="53">
        <f>53.47+0.01</f>
        <v>53.48</v>
      </c>
      <c r="G16" s="53">
        <v>10.85</v>
      </c>
      <c r="H16" s="53">
        <f t="shared" ref="H16" si="14">F16+G16</f>
        <v>64.33</v>
      </c>
      <c r="I16" s="53">
        <f t="shared" ref="I16" si="15">TRUNC(H16*E16,2)</f>
        <v>2256.69</v>
      </c>
      <c r="J16" s="58">
        <v>0.21129999999999999</v>
      </c>
      <c r="K16" s="53">
        <f t="shared" si="11"/>
        <v>2272.4899999999998</v>
      </c>
      <c r="L16" s="53">
        <f t="shared" si="11"/>
        <v>461.04</v>
      </c>
      <c r="M16" s="53">
        <f t="shared" si="12"/>
        <v>2733.5299999999997</v>
      </c>
      <c r="O16" s="20"/>
      <c r="P16" s="11"/>
      <c r="S16" s="162">
        <v>1</v>
      </c>
      <c r="T16" s="161">
        <f t="shared" si="13"/>
        <v>2733.53</v>
      </c>
      <c r="U16" s="128"/>
      <c r="V16" s="129"/>
      <c r="W16" s="128"/>
      <c r="X16" s="129"/>
      <c r="Y16" s="128"/>
      <c r="Z16" s="129"/>
      <c r="AB16" s="27">
        <f t="shared" si="9"/>
        <v>1</v>
      </c>
      <c r="AC16" s="11">
        <f t="shared" si="9"/>
        <v>2733.53</v>
      </c>
    </row>
    <row r="17" spans="1:30" ht="30" x14ac:dyDescent="0.25">
      <c r="A17" s="8" t="s">
        <v>41</v>
      </c>
      <c r="B17" s="8" t="s">
        <v>511</v>
      </c>
      <c r="C17" s="9" t="s">
        <v>510</v>
      </c>
      <c r="D17" s="59" t="s">
        <v>430</v>
      </c>
      <c r="E17" s="59">
        <f>17.54*2+(7+7)*2</f>
        <v>63.08</v>
      </c>
      <c r="F17" s="53">
        <v>0.51</v>
      </c>
      <c r="G17" s="53">
        <v>1.5</v>
      </c>
      <c r="H17" s="53">
        <f>F17+G17</f>
        <v>2.0099999999999998</v>
      </c>
      <c r="I17" s="53">
        <f>H17*E17</f>
        <v>126.79079999999999</v>
      </c>
      <c r="J17" s="58">
        <v>0.21129999999999999</v>
      </c>
      <c r="K17" s="53">
        <f t="shared" si="11"/>
        <v>38.96</v>
      </c>
      <c r="L17" s="53">
        <f t="shared" si="11"/>
        <v>114.61</v>
      </c>
      <c r="M17" s="53">
        <f t="shared" si="12"/>
        <v>153.57</v>
      </c>
      <c r="O17" s="20"/>
      <c r="P17" s="11"/>
      <c r="S17" s="128"/>
      <c r="T17" s="129"/>
      <c r="U17" s="128"/>
      <c r="V17" s="129"/>
      <c r="W17" s="128"/>
      <c r="X17" s="129"/>
      <c r="Y17" s="162">
        <v>1</v>
      </c>
      <c r="Z17" s="161">
        <f t="shared" ref="Z17" si="16">TRUNC(Y17*$M17,2)</f>
        <v>153.57</v>
      </c>
      <c r="AB17" s="27">
        <f t="shared" si="9"/>
        <v>1</v>
      </c>
      <c r="AC17" s="11">
        <f t="shared" si="9"/>
        <v>153.57</v>
      </c>
    </row>
    <row r="18" spans="1:30" ht="30" x14ac:dyDescent="0.25">
      <c r="A18" s="8" t="s">
        <v>43</v>
      </c>
      <c r="B18" s="8" t="s">
        <v>320</v>
      </c>
      <c r="C18" s="9" t="s">
        <v>213</v>
      </c>
      <c r="D18" s="59" t="s">
        <v>430</v>
      </c>
      <c r="E18" s="59">
        <f>44*0.5</f>
        <v>22</v>
      </c>
      <c r="F18" s="53">
        <v>2.96</v>
      </c>
      <c r="G18" s="53">
        <v>8.8699999999999992</v>
      </c>
      <c r="H18" s="53">
        <f t="shared" ref="H18:H23" si="17">F18+G18</f>
        <v>11.829999999999998</v>
      </c>
      <c r="I18" s="53">
        <f>H18*E18</f>
        <v>260.26</v>
      </c>
      <c r="J18" s="58">
        <v>0.21129999999999999</v>
      </c>
      <c r="K18" s="53">
        <f t="shared" si="11"/>
        <v>78.87</v>
      </c>
      <c r="L18" s="53">
        <f t="shared" si="11"/>
        <v>236.37</v>
      </c>
      <c r="M18" s="53">
        <f t="shared" si="12"/>
        <v>315.24</v>
      </c>
      <c r="O18" s="20"/>
      <c r="P18" s="11"/>
      <c r="S18" s="128"/>
      <c r="T18" s="129"/>
      <c r="U18" s="162">
        <v>1</v>
      </c>
      <c r="V18" s="161">
        <f t="shared" ref="V18:X22" si="18">TRUNC(U18*$M18,2)</f>
        <v>315.24</v>
      </c>
      <c r="W18" s="128"/>
      <c r="X18" s="129"/>
      <c r="Y18" s="128"/>
      <c r="Z18" s="122"/>
      <c r="AB18" s="27">
        <f t="shared" si="9"/>
        <v>1</v>
      </c>
      <c r="AC18" s="11">
        <f t="shared" si="9"/>
        <v>315.24</v>
      </c>
    </row>
    <row r="19" spans="1:30" ht="30" x14ac:dyDescent="0.25">
      <c r="A19" s="164" t="s">
        <v>45</v>
      </c>
      <c r="B19" s="8" t="s">
        <v>512</v>
      </c>
      <c r="C19" s="9" t="s">
        <v>438</v>
      </c>
      <c r="D19" s="59" t="s">
        <v>437</v>
      </c>
      <c r="E19" s="59">
        <f>0.5*0.5*0.5*33</f>
        <v>4.125</v>
      </c>
      <c r="F19" s="53">
        <f>11.19+63.56</f>
        <v>74.75</v>
      </c>
      <c r="G19" s="53">
        <v>153.19999999999999</v>
      </c>
      <c r="H19" s="53">
        <f t="shared" si="17"/>
        <v>227.95</v>
      </c>
      <c r="I19" s="53">
        <f t="shared" ref="I19:I22" si="19">H19*E19</f>
        <v>940.29374999999993</v>
      </c>
      <c r="J19" s="58">
        <v>0.21129999999999999</v>
      </c>
      <c r="K19" s="53">
        <f t="shared" si="11"/>
        <v>373.49</v>
      </c>
      <c r="L19" s="53">
        <f t="shared" si="11"/>
        <v>765.48</v>
      </c>
      <c r="M19" s="53">
        <f t="shared" si="12"/>
        <v>1138.97</v>
      </c>
      <c r="O19" s="20"/>
      <c r="P19" s="11"/>
      <c r="S19" s="128"/>
      <c r="T19" s="129"/>
      <c r="U19" s="162">
        <v>1</v>
      </c>
      <c r="V19" s="161">
        <f t="shared" si="18"/>
        <v>1138.97</v>
      </c>
      <c r="W19" s="128"/>
      <c r="X19" s="129"/>
      <c r="Y19" s="128"/>
      <c r="Z19" s="122"/>
      <c r="AB19" s="27">
        <f t="shared" si="9"/>
        <v>1</v>
      </c>
      <c r="AC19" s="11">
        <f t="shared" si="9"/>
        <v>1138.97</v>
      </c>
    </row>
    <row r="20" spans="1:30" ht="30" x14ac:dyDescent="0.25">
      <c r="A20" s="8" t="s">
        <v>47</v>
      </c>
      <c r="B20" s="68" t="s">
        <v>516</v>
      </c>
      <c r="C20" s="9" t="s">
        <v>515</v>
      </c>
      <c r="D20" s="92" t="s">
        <v>379</v>
      </c>
      <c r="E20" s="92">
        <v>16</v>
      </c>
      <c r="F20" s="53">
        <v>220</v>
      </c>
      <c r="G20" s="53">
        <v>0</v>
      </c>
      <c r="H20" s="53">
        <f t="shared" si="17"/>
        <v>220</v>
      </c>
      <c r="I20" s="53">
        <f t="shared" si="19"/>
        <v>3520</v>
      </c>
      <c r="J20" s="58">
        <v>0.21129999999999999</v>
      </c>
      <c r="K20" s="53">
        <f t="shared" si="11"/>
        <v>4263.7700000000004</v>
      </c>
      <c r="L20" s="53">
        <f t="shared" si="11"/>
        <v>0</v>
      </c>
      <c r="M20" s="53">
        <f t="shared" si="12"/>
        <v>4263.7700000000004</v>
      </c>
      <c r="O20" s="20"/>
      <c r="P20" s="11"/>
      <c r="S20" s="128"/>
      <c r="T20" s="129"/>
      <c r="U20" s="162">
        <v>0.5</v>
      </c>
      <c r="V20" s="161">
        <f t="shared" si="18"/>
        <v>2131.88</v>
      </c>
      <c r="W20" s="162">
        <v>0.5</v>
      </c>
      <c r="X20" s="161">
        <f>TRUNC(W20*$M20,2)+0.01</f>
        <v>2131.8900000000003</v>
      </c>
      <c r="Y20" s="128"/>
      <c r="Z20" s="122"/>
      <c r="AB20" s="27">
        <f t="shared" si="9"/>
        <v>1</v>
      </c>
      <c r="AC20" s="11">
        <f t="shared" si="9"/>
        <v>4263.7700000000004</v>
      </c>
    </row>
    <row r="21" spans="1:30" ht="30" x14ac:dyDescent="0.25">
      <c r="A21" s="8" t="s">
        <v>49</v>
      </c>
      <c r="B21" s="8" t="s">
        <v>331</v>
      </c>
      <c r="C21" s="9" t="s">
        <v>518</v>
      </c>
      <c r="D21" s="59" t="s">
        <v>519</v>
      </c>
      <c r="E21" s="59">
        <v>30</v>
      </c>
      <c r="F21" s="53">
        <v>15.75</v>
      </c>
      <c r="G21" s="53">
        <v>0</v>
      </c>
      <c r="H21" s="53">
        <f t="shared" si="17"/>
        <v>15.75</v>
      </c>
      <c r="I21" s="53">
        <f t="shared" si="19"/>
        <v>472.5</v>
      </c>
      <c r="J21" s="58">
        <v>0.21129999999999999</v>
      </c>
      <c r="K21" s="53">
        <f t="shared" si="11"/>
        <v>572.33000000000004</v>
      </c>
      <c r="L21" s="53">
        <f t="shared" si="11"/>
        <v>0</v>
      </c>
      <c r="M21" s="53">
        <f t="shared" si="12"/>
        <v>572.33000000000004</v>
      </c>
      <c r="O21" s="20"/>
      <c r="P21" s="11"/>
      <c r="S21" s="128"/>
      <c r="T21" s="129"/>
      <c r="U21" s="128"/>
      <c r="V21" s="129"/>
      <c r="W21" s="162">
        <v>0.5</v>
      </c>
      <c r="X21" s="161">
        <f t="shared" si="18"/>
        <v>286.16000000000003</v>
      </c>
      <c r="Y21" s="162">
        <v>0.5</v>
      </c>
      <c r="Z21" s="161">
        <f>TRUNC(Y21*$M21,2)+0.01</f>
        <v>286.17</v>
      </c>
      <c r="AB21" s="27">
        <f t="shared" si="9"/>
        <v>1</v>
      </c>
      <c r="AC21" s="11">
        <f t="shared" si="9"/>
        <v>572.33000000000004</v>
      </c>
    </row>
    <row r="22" spans="1:30" ht="30" x14ac:dyDescent="0.25">
      <c r="A22" s="8" t="s">
        <v>51</v>
      </c>
      <c r="B22" s="8" t="s">
        <v>521</v>
      </c>
      <c r="C22" s="9" t="s">
        <v>522</v>
      </c>
      <c r="D22" s="59" t="s">
        <v>84</v>
      </c>
      <c r="E22" s="59">
        <v>30</v>
      </c>
      <c r="F22" s="53">
        <v>3.63</v>
      </c>
      <c r="G22" s="53">
        <v>11.22</v>
      </c>
      <c r="H22" s="53">
        <f t="shared" si="17"/>
        <v>14.850000000000001</v>
      </c>
      <c r="I22" s="53">
        <f t="shared" si="19"/>
        <v>445.50000000000006</v>
      </c>
      <c r="J22" s="58">
        <v>0.21129999999999999</v>
      </c>
      <c r="K22" s="53">
        <f t="shared" si="11"/>
        <v>131.91</v>
      </c>
      <c r="L22" s="53">
        <f t="shared" si="11"/>
        <v>407.72</v>
      </c>
      <c r="M22" s="53">
        <f t="shared" si="12"/>
        <v>539.63</v>
      </c>
      <c r="O22" s="20"/>
      <c r="P22" s="11"/>
      <c r="S22" s="128"/>
      <c r="T22" s="129"/>
      <c r="U22" s="128"/>
      <c r="V22" s="129"/>
      <c r="W22" s="162">
        <v>0.5</v>
      </c>
      <c r="X22" s="161">
        <f t="shared" si="18"/>
        <v>269.81</v>
      </c>
      <c r="Y22" s="162">
        <v>0.5</v>
      </c>
      <c r="Z22" s="161">
        <f>TRUNC(Y22*$M22,2)+0.01</f>
        <v>269.82</v>
      </c>
      <c r="AB22" s="27">
        <f t="shared" si="9"/>
        <v>1</v>
      </c>
      <c r="AC22" s="11">
        <f t="shared" si="9"/>
        <v>539.63</v>
      </c>
    </row>
    <row r="23" spans="1:30" ht="30" outlineLevel="1" x14ac:dyDescent="0.25">
      <c r="A23" s="8" t="s">
        <v>520</v>
      </c>
      <c r="B23" s="8" t="s">
        <v>523</v>
      </c>
      <c r="C23" s="9" t="s">
        <v>524</v>
      </c>
      <c r="D23" s="59" t="s">
        <v>430</v>
      </c>
      <c r="E23" s="59">
        <f>2*1.125</f>
        <v>2.25</v>
      </c>
      <c r="F23" s="53">
        <v>300</v>
      </c>
      <c r="G23" s="53">
        <v>0</v>
      </c>
      <c r="H23" s="53">
        <f t="shared" si="17"/>
        <v>300</v>
      </c>
      <c r="I23" s="53">
        <f t="shared" ref="I23" si="20">TRUNC(H23*E23,2)</f>
        <v>675</v>
      </c>
      <c r="J23" s="58">
        <v>0.21129999999999999</v>
      </c>
      <c r="K23" s="53">
        <f>TRUNC($E23*F23*(1+$J23),2)</f>
        <v>817.62</v>
      </c>
      <c r="L23" s="53">
        <f>TRUNC($E23*G23*(1+$J23),2)</f>
        <v>0</v>
      </c>
      <c r="M23" s="53">
        <f>L23+K23</f>
        <v>817.62</v>
      </c>
      <c r="O23" s="20"/>
      <c r="P23" s="11"/>
      <c r="S23" s="162">
        <v>1</v>
      </c>
      <c r="T23" s="161">
        <f t="shared" ref="T23" si="21">TRUNC(S23*$M23,2)</f>
        <v>817.62</v>
      </c>
      <c r="U23" s="124"/>
      <c r="V23" s="124"/>
      <c r="W23" s="120"/>
      <c r="X23" s="121"/>
      <c r="Y23" s="124"/>
      <c r="Z23" s="124"/>
      <c r="AB23" s="27">
        <f t="shared" si="9"/>
        <v>1</v>
      </c>
      <c r="AC23" s="11">
        <f t="shared" si="9"/>
        <v>817.62</v>
      </c>
      <c r="AD23" s="3" t="str">
        <f>IF(AC23=M16,"OK","VERIFICAR")</f>
        <v>VERIFICAR</v>
      </c>
    </row>
    <row r="24" spans="1:30" x14ac:dyDescent="0.25">
      <c r="C24" s="17"/>
    </row>
    <row r="25" spans="1:30" x14ac:dyDescent="0.25">
      <c r="A25" s="5" t="s">
        <v>433</v>
      </c>
      <c r="B25" s="5"/>
      <c r="C25" s="18" t="s">
        <v>428</v>
      </c>
      <c r="D25" s="5"/>
      <c r="E25" s="6"/>
      <c r="F25" s="6"/>
      <c r="G25" s="6"/>
      <c r="H25" s="7"/>
      <c r="I25" s="7"/>
      <c r="J25" s="7"/>
      <c r="K25" s="7"/>
      <c r="L25" s="7"/>
      <c r="M25" s="7">
        <f>SUM(M26:M38)</f>
        <v>442960.9499999999</v>
      </c>
      <c r="O25" s="20"/>
      <c r="P25" s="20"/>
      <c r="S25" s="32">
        <f>T25/$M$40</f>
        <v>0</v>
      </c>
      <c r="T25" s="7">
        <f>SUM(T26:T38)</f>
        <v>0</v>
      </c>
      <c r="U25" s="32">
        <f>V25/$M$40</f>
        <v>0.32278953513399078</v>
      </c>
      <c r="V25" s="7">
        <f>SUM(V26:V38)</f>
        <v>156121.71</v>
      </c>
      <c r="W25" s="32">
        <f>X25/$M$40</f>
        <v>0.38046882123357928</v>
      </c>
      <c r="X25" s="7">
        <f>SUM(X26:X38)</f>
        <v>184019.11</v>
      </c>
      <c r="Y25" s="32">
        <f>Z25/$M$40</f>
        <v>0.21258582144095459</v>
      </c>
      <c r="Z25" s="7">
        <f>SUM(Z26:Z38)</f>
        <v>102820.12999999999</v>
      </c>
      <c r="AB25" s="27">
        <f t="shared" ref="AB25:AB38" si="22">SUM(S25,U25,W25,Y25)</f>
        <v>0.91584417780852467</v>
      </c>
      <c r="AC25" s="11">
        <f t="shared" ref="AC25:AC38" si="23">SUM(T25,V25,X25,Z25)</f>
        <v>442960.94999999995</v>
      </c>
      <c r="AD25" s="3" t="str">
        <f t="shared" ref="AD25:AD40" si="24">IF(AC25=M25,"OK","VERIFICAR")</f>
        <v>OK</v>
      </c>
    </row>
    <row r="26" spans="1:30" ht="30" outlineLevel="1" x14ac:dyDescent="0.25">
      <c r="A26" s="8" t="s">
        <v>54</v>
      </c>
      <c r="B26" s="8" t="s">
        <v>525</v>
      </c>
      <c r="C26" s="9" t="s">
        <v>526</v>
      </c>
      <c r="D26" s="59" t="s">
        <v>527</v>
      </c>
      <c r="E26" s="59">
        <f>6*44</f>
        <v>264</v>
      </c>
      <c r="F26" s="53">
        <f>5.89+13.59</f>
        <v>19.48</v>
      </c>
      <c r="G26" s="53">
        <v>3.32</v>
      </c>
      <c r="H26" s="53">
        <f t="shared" ref="H26:H38" si="25">F26+G26</f>
        <v>22.8</v>
      </c>
      <c r="I26" s="53">
        <f t="shared" ref="I26:I38" si="26">TRUNC(H26*E26,2)</f>
        <v>6019.2</v>
      </c>
      <c r="J26" s="58">
        <v>0.21129999999999999</v>
      </c>
      <c r="K26" s="53">
        <f t="shared" ref="K26:L38" si="27">TRUNC($E26*F26*(1+$J26),2)</f>
        <v>6229.37</v>
      </c>
      <c r="L26" s="53">
        <f t="shared" si="27"/>
        <v>1061.68</v>
      </c>
      <c r="M26" s="53">
        <f t="shared" ref="M26:M38" si="28">L26+K26</f>
        <v>7291.05</v>
      </c>
      <c r="O26" s="169">
        <f t="shared" ref="O26" si="29">P26/$M$40</f>
        <v>1.5074614799816652E-2</v>
      </c>
      <c r="P26" s="170">
        <f>M26</f>
        <v>7291.05</v>
      </c>
      <c r="S26" s="124"/>
      <c r="T26" s="124"/>
      <c r="U26" s="124"/>
      <c r="V26" s="124"/>
      <c r="W26" s="162">
        <v>1</v>
      </c>
      <c r="X26" s="161">
        <f t="shared" ref="X26" si="30">TRUNC(W26*$M26,2)</f>
        <v>7291.05</v>
      </c>
      <c r="Y26" s="124"/>
      <c r="Z26" s="124"/>
      <c r="AB26" s="27">
        <f t="shared" si="22"/>
        <v>1</v>
      </c>
      <c r="AC26" s="11">
        <f t="shared" si="23"/>
        <v>7291.05</v>
      </c>
      <c r="AD26" s="3" t="str">
        <f t="shared" si="24"/>
        <v>OK</v>
      </c>
    </row>
    <row r="27" spans="1:30" ht="58.5" outlineLevel="1" x14ac:dyDescent="0.25">
      <c r="A27" s="8" t="s">
        <v>56</v>
      </c>
      <c r="B27" s="68" t="s">
        <v>528</v>
      </c>
      <c r="C27" s="9" t="s">
        <v>418</v>
      </c>
      <c r="D27" s="59" t="s">
        <v>207</v>
      </c>
      <c r="E27" s="59">
        <v>1</v>
      </c>
      <c r="F27" s="53">
        <v>229847.5</v>
      </c>
      <c r="G27" s="53">
        <v>0</v>
      </c>
      <c r="H27" s="53">
        <f t="shared" si="25"/>
        <v>229847.5</v>
      </c>
      <c r="I27" s="53">
        <f t="shared" si="26"/>
        <v>229847.5</v>
      </c>
      <c r="J27" s="168">
        <v>0.14630000000000001</v>
      </c>
      <c r="K27" s="53">
        <f t="shared" si="27"/>
        <v>263474.18</v>
      </c>
      <c r="L27" s="53">
        <f t="shared" si="27"/>
        <v>0</v>
      </c>
      <c r="M27" s="53">
        <f t="shared" si="28"/>
        <v>263474.18</v>
      </c>
      <c r="O27" s="169">
        <f t="shared" ref="O27" si="31">P27/$M$40</f>
        <v>0.54474619885991138</v>
      </c>
      <c r="P27" s="170">
        <f>M27</f>
        <v>263474.18</v>
      </c>
      <c r="S27" s="124"/>
      <c r="T27" s="124"/>
      <c r="U27" s="162">
        <v>0.5</v>
      </c>
      <c r="V27" s="161">
        <f t="shared" ref="V27" si="32">TRUNC(U27*$M27,2)</f>
        <v>131737.09</v>
      </c>
      <c r="W27" s="162">
        <v>0.5</v>
      </c>
      <c r="X27" s="161">
        <f>TRUNC(W27*$M27,2)</f>
        <v>131737.09</v>
      </c>
      <c r="Y27" s="124"/>
      <c r="Z27" s="124"/>
      <c r="AB27" s="27">
        <f t="shared" si="22"/>
        <v>1</v>
      </c>
      <c r="AC27" s="11">
        <f t="shared" si="23"/>
        <v>263474.18</v>
      </c>
      <c r="AD27" s="3" t="str">
        <f t="shared" si="24"/>
        <v>OK</v>
      </c>
    </row>
    <row r="28" spans="1:30" ht="30" outlineLevel="1" x14ac:dyDescent="0.25">
      <c r="A28" s="8" t="s">
        <v>58</v>
      </c>
      <c r="B28" s="68" t="s">
        <v>536</v>
      </c>
      <c r="C28" s="9" t="s">
        <v>473</v>
      </c>
      <c r="D28" s="59" t="s">
        <v>430</v>
      </c>
      <c r="E28" s="59">
        <v>1092.9000000000001</v>
      </c>
      <c r="F28" s="53">
        <f>'PCCU (NAO DESON)'!F189</f>
        <v>93.59</v>
      </c>
      <c r="G28" s="53">
        <f>'PCCU (NAO DESON)'!F190</f>
        <v>2.48</v>
      </c>
      <c r="H28" s="53">
        <f t="shared" si="25"/>
        <v>96.070000000000007</v>
      </c>
      <c r="I28" s="53">
        <f t="shared" si="26"/>
        <v>104994.9</v>
      </c>
      <c r="J28" s="58">
        <v>0.21129999999999999</v>
      </c>
      <c r="K28" s="53">
        <f t="shared" si="27"/>
        <v>123897.22</v>
      </c>
      <c r="L28" s="53">
        <f t="shared" si="27"/>
        <v>3283.09</v>
      </c>
      <c r="M28" s="53">
        <f t="shared" si="28"/>
        <v>127180.31</v>
      </c>
      <c r="O28" s="169">
        <f>P28/$M$40</f>
        <v>6.7879546983123217E-3</v>
      </c>
      <c r="P28" s="170">
        <f>L28</f>
        <v>3283.09</v>
      </c>
      <c r="S28" s="124"/>
      <c r="T28" s="124"/>
      <c r="U28" s="124"/>
      <c r="V28" s="124"/>
      <c r="W28" s="162">
        <v>0.25</v>
      </c>
      <c r="X28" s="161">
        <f>TRUNC(W28*$M28,2)</f>
        <v>31795.07</v>
      </c>
      <c r="Y28" s="162">
        <v>0.75</v>
      </c>
      <c r="Z28" s="161">
        <f>TRUNC(Y28*$M28,2)+0.01</f>
        <v>95385.239999999991</v>
      </c>
      <c r="AB28" s="27">
        <f t="shared" si="22"/>
        <v>1</v>
      </c>
      <c r="AC28" s="11">
        <f t="shared" si="23"/>
        <v>127180.31</v>
      </c>
      <c r="AD28" s="3" t="str">
        <f t="shared" si="24"/>
        <v>OK</v>
      </c>
    </row>
    <row r="29" spans="1:30" ht="30" outlineLevel="1" x14ac:dyDescent="0.25">
      <c r="A29" s="8" t="s">
        <v>60</v>
      </c>
      <c r="B29" s="8" t="s">
        <v>324</v>
      </c>
      <c r="C29" s="9" t="s">
        <v>216</v>
      </c>
      <c r="D29" s="59" t="s">
        <v>430</v>
      </c>
      <c r="E29" s="59">
        <f>44*0.5</f>
        <v>22</v>
      </c>
      <c r="F29" s="53">
        <v>7.8</v>
      </c>
      <c r="G29" s="53">
        <v>6.27</v>
      </c>
      <c r="H29" s="53">
        <f t="shared" si="25"/>
        <v>14.07</v>
      </c>
      <c r="I29" s="53">
        <f t="shared" si="26"/>
        <v>309.54000000000002</v>
      </c>
      <c r="J29" s="58">
        <v>0.21129999999999999</v>
      </c>
      <c r="K29" s="53">
        <f t="shared" si="27"/>
        <v>207.85</v>
      </c>
      <c r="L29" s="53">
        <f t="shared" si="27"/>
        <v>167.08</v>
      </c>
      <c r="M29" s="53">
        <f t="shared" si="28"/>
        <v>374.93</v>
      </c>
      <c r="S29" s="124"/>
      <c r="T29" s="124"/>
      <c r="U29" s="124"/>
      <c r="V29" s="124"/>
      <c r="W29" s="162">
        <v>0.5</v>
      </c>
      <c r="X29" s="161">
        <f>TRUNC(W29*$M29,2)</f>
        <v>187.46</v>
      </c>
      <c r="Y29" s="162">
        <v>0.5</v>
      </c>
      <c r="Z29" s="161">
        <f>TRUNC(Y29*$M29,2)+0.01</f>
        <v>187.47</v>
      </c>
      <c r="AB29" s="27">
        <f t="shared" si="22"/>
        <v>1</v>
      </c>
      <c r="AC29" s="11">
        <f t="shared" si="23"/>
        <v>374.93</v>
      </c>
      <c r="AD29" s="3" t="str">
        <f t="shared" si="24"/>
        <v>OK</v>
      </c>
    </row>
    <row r="30" spans="1:30" ht="30" outlineLevel="1" x14ac:dyDescent="0.25">
      <c r="A30" s="8" t="s">
        <v>62</v>
      </c>
      <c r="B30" s="68" t="s">
        <v>537</v>
      </c>
      <c r="C30" s="9" t="s">
        <v>538</v>
      </c>
      <c r="D30" s="59" t="s">
        <v>84</v>
      </c>
      <c r="E30" s="59">
        <f>44*2*3</f>
        <v>264</v>
      </c>
      <c r="F30" s="53">
        <f>0.06+25.8+0.05</f>
        <v>25.91</v>
      </c>
      <c r="G30" s="53">
        <v>16.18</v>
      </c>
      <c r="H30" s="53">
        <f t="shared" si="25"/>
        <v>42.09</v>
      </c>
      <c r="I30" s="53">
        <f t="shared" si="26"/>
        <v>11111.76</v>
      </c>
      <c r="J30" s="58">
        <v>0.21129999999999999</v>
      </c>
      <c r="K30" s="53">
        <f t="shared" si="27"/>
        <v>8285.58</v>
      </c>
      <c r="L30" s="53">
        <f t="shared" si="27"/>
        <v>5174.09</v>
      </c>
      <c r="M30" s="53">
        <f t="shared" si="28"/>
        <v>13459.67</v>
      </c>
      <c r="O30" s="169">
        <f t="shared" ref="O30" si="33">P30/$M$40</f>
        <v>1.0697692882312334E-2</v>
      </c>
      <c r="P30" s="170">
        <f t="shared" ref="P30" si="34">L30</f>
        <v>5174.09</v>
      </c>
      <c r="S30" s="124"/>
      <c r="T30" s="124"/>
      <c r="U30" s="162">
        <v>0.25</v>
      </c>
      <c r="V30" s="161">
        <f>TRUNC(U30*$M30,2)</f>
        <v>3364.91</v>
      </c>
      <c r="W30" s="162">
        <v>0.75</v>
      </c>
      <c r="X30" s="161">
        <f>TRUNC(W30*$M30,2)+0.01</f>
        <v>10094.76</v>
      </c>
      <c r="Y30" s="124"/>
      <c r="Z30" s="124"/>
      <c r="AB30" s="27">
        <f t="shared" si="22"/>
        <v>1</v>
      </c>
      <c r="AC30" s="11">
        <f t="shared" si="23"/>
        <v>13459.67</v>
      </c>
      <c r="AD30" s="3" t="str">
        <f t="shared" si="24"/>
        <v>OK</v>
      </c>
    </row>
    <row r="31" spans="1:30" ht="30" outlineLevel="1" x14ac:dyDescent="0.25">
      <c r="A31" s="8" t="s">
        <v>63</v>
      </c>
      <c r="B31" s="68" t="s">
        <v>292</v>
      </c>
      <c r="C31" s="9" t="s">
        <v>150</v>
      </c>
      <c r="D31" s="59" t="s">
        <v>437</v>
      </c>
      <c r="E31" s="59">
        <f>1.2*0.5*0.5*44</f>
        <v>13.2</v>
      </c>
      <c r="F31" s="53">
        <v>20.399999999999999</v>
      </c>
      <c r="G31" s="53">
        <v>50.2</v>
      </c>
      <c r="H31" s="53">
        <f t="shared" si="25"/>
        <v>70.599999999999994</v>
      </c>
      <c r="I31" s="53">
        <f t="shared" si="26"/>
        <v>931.92</v>
      </c>
      <c r="J31" s="58">
        <v>0.21129999999999999</v>
      </c>
      <c r="K31" s="53">
        <f t="shared" si="27"/>
        <v>326.17</v>
      </c>
      <c r="L31" s="53">
        <f t="shared" si="27"/>
        <v>802.65</v>
      </c>
      <c r="M31" s="53">
        <f t="shared" si="28"/>
        <v>1128.82</v>
      </c>
      <c r="O31" s="20"/>
      <c r="P31" s="11"/>
      <c r="S31" s="124"/>
      <c r="T31" s="124"/>
      <c r="U31" s="162">
        <v>1</v>
      </c>
      <c r="V31" s="161">
        <f t="shared" ref="V31" si="35">TRUNC(U31*$M31,2)</f>
        <v>1128.82</v>
      </c>
      <c r="W31" s="124"/>
      <c r="X31" s="124"/>
      <c r="Y31" s="124"/>
      <c r="Z31" s="124"/>
      <c r="AB31" s="27">
        <f t="shared" si="22"/>
        <v>1</v>
      </c>
      <c r="AC31" s="11">
        <f t="shared" si="23"/>
        <v>1128.82</v>
      </c>
      <c r="AD31" s="3" t="str">
        <f t="shared" si="24"/>
        <v>OK</v>
      </c>
    </row>
    <row r="32" spans="1:30" ht="45" outlineLevel="1" x14ac:dyDescent="0.25">
      <c r="A32" s="8" t="s">
        <v>65</v>
      </c>
      <c r="B32" s="68" t="s">
        <v>432</v>
      </c>
      <c r="C32" s="9" t="s">
        <v>431</v>
      </c>
      <c r="D32" s="59" t="s">
        <v>430</v>
      </c>
      <c r="E32" s="59">
        <v>44</v>
      </c>
      <c r="F32" s="53">
        <f>0.03+50.68+0.08</f>
        <v>50.79</v>
      </c>
      <c r="G32" s="53">
        <v>16.239999999999998</v>
      </c>
      <c r="H32" s="53">
        <f t="shared" si="25"/>
        <v>67.03</v>
      </c>
      <c r="I32" s="53">
        <f t="shared" si="26"/>
        <v>2949.32</v>
      </c>
      <c r="J32" s="58">
        <v>0.21129999999999999</v>
      </c>
      <c r="K32" s="53">
        <f t="shared" si="27"/>
        <v>2706.96</v>
      </c>
      <c r="L32" s="53">
        <f t="shared" si="27"/>
        <v>865.54</v>
      </c>
      <c r="M32" s="53">
        <f t="shared" si="28"/>
        <v>3572.5</v>
      </c>
      <c r="P32" s="11"/>
      <c r="S32" s="124"/>
      <c r="T32" s="124"/>
      <c r="U32" s="124"/>
      <c r="V32" s="124"/>
      <c r="W32" s="162">
        <v>0.75</v>
      </c>
      <c r="X32" s="161">
        <f>TRUNC(W32*$M32,2)</f>
        <v>2679.37</v>
      </c>
      <c r="Y32" s="162">
        <v>0.25</v>
      </c>
      <c r="Z32" s="161">
        <f>TRUNC(Y32*$M32,2)+0.01</f>
        <v>893.13</v>
      </c>
      <c r="AB32" s="27">
        <f t="shared" si="22"/>
        <v>1</v>
      </c>
      <c r="AC32" s="11">
        <f t="shared" si="23"/>
        <v>3572.5</v>
      </c>
      <c r="AD32" s="3" t="str">
        <f t="shared" si="24"/>
        <v>OK</v>
      </c>
    </row>
    <row r="33" spans="1:30" ht="60" outlineLevel="1" x14ac:dyDescent="0.25">
      <c r="A33" s="8" t="s">
        <v>67</v>
      </c>
      <c r="B33" s="68" t="s">
        <v>554</v>
      </c>
      <c r="C33" s="9" t="s">
        <v>555</v>
      </c>
      <c r="D33" s="59" t="s">
        <v>207</v>
      </c>
      <c r="E33" s="59">
        <v>16</v>
      </c>
      <c r="F33" s="53">
        <v>46.48</v>
      </c>
      <c r="G33" s="53">
        <v>7.72</v>
      </c>
      <c r="H33" s="53">
        <f t="shared" ref="H33" si="36">F33+G33</f>
        <v>54.199999999999996</v>
      </c>
      <c r="I33" s="53">
        <f t="shared" ref="I33" si="37">TRUNC(H33*E33,2)</f>
        <v>867.2</v>
      </c>
      <c r="J33" s="58">
        <v>0.21129999999999999</v>
      </c>
      <c r="K33" s="53">
        <f t="shared" ref="K33" si="38">TRUNC($E33*F33*(1+$J33),2)</f>
        <v>900.81</v>
      </c>
      <c r="L33" s="53">
        <f t="shared" ref="L33" si="39">TRUNC($E33*G33*(1+$J33),2)</f>
        <v>149.61000000000001</v>
      </c>
      <c r="M33" s="53">
        <f t="shared" ref="M33" si="40">L33+K33</f>
        <v>1050.42</v>
      </c>
      <c r="O33" s="20"/>
      <c r="P33" s="11"/>
      <c r="S33" s="124"/>
      <c r="T33" s="124"/>
      <c r="U33" s="124"/>
      <c r="V33" s="124"/>
      <c r="W33" s="124"/>
      <c r="X33" s="124"/>
      <c r="Y33" s="162">
        <v>1</v>
      </c>
      <c r="Z33" s="161">
        <f t="shared" ref="Z33" si="41">TRUNC(Y33*$M33,2)</f>
        <v>1050.42</v>
      </c>
      <c r="AB33" s="27">
        <f t="shared" ref="AB33" si="42">SUM(S33,U33,W33,Y33)</f>
        <v>1</v>
      </c>
      <c r="AC33" s="11">
        <f t="shared" ref="AC33" si="43">SUM(T33,V33,X33,Z33)</f>
        <v>1050.42</v>
      </c>
      <c r="AD33" s="3" t="str">
        <f t="shared" ref="AD33" si="44">IF(AC33=M33,"OK","VERIFICAR")</f>
        <v>OK</v>
      </c>
    </row>
    <row r="34" spans="1:30" ht="30" outlineLevel="1" x14ac:dyDescent="0.25">
      <c r="A34" s="8" t="s">
        <v>435</v>
      </c>
      <c r="B34" s="68" t="s">
        <v>299</v>
      </c>
      <c r="C34" s="9" t="s">
        <v>539</v>
      </c>
      <c r="D34" s="59" t="s">
        <v>430</v>
      </c>
      <c r="E34" s="59">
        <f>1.5*44</f>
        <v>66</v>
      </c>
      <c r="F34" s="53">
        <f>66.57+0.17</f>
        <v>66.739999999999995</v>
      </c>
      <c r="G34" s="53">
        <v>36.26</v>
      </c>
      <c r="H34" s="53">
        <f t="shared" si="25"/>
        <v>103</v>
      </c>
      <c r="I34" s="53">
        <f t="shared" si="26"/>
        <v>6798</v>
      </c>
      <c r="J34" s="58">
        <v>0.21129999999999999</v>
      </c>
      <c r="K34" s="53">
        <f t="shared" si="27"/>
        <v>5335.58</v>
      </c>
      <c r="L34" s="53">
        <f t="shared" si="27"/>
        <v>2898.83</v>
      </c>
      <c r="M34" s="53">
        <f t="shared" si="28"/>
        <v>8234.41</v>
      </c>
      <c r="O34" s="169">
        <f t="shared" ref="O34:O36" si="45">P34/$M$40</f>
        <v>5.9934777048782414E-3</v>
      </c>
      <c r="P34" s="170">
        <f t="shared" ref="P34:P36" si="46">L34</f>
        <v>2898.83</v>
      </c>
      <c r="S34" s="124"/>
      <c r="T34" s="124"/>
      <c r="U34" s="162">
        <v>1</v>
      </c>
      <c r="V34" s="161">
        <f t="shared" ref="V34:V37" si="47">TRUNC(U34*$M34,2)</f>
        <v>8234.41</v>
      </c>
      <c r="W34" s="124"/>
      <c r="X34" s="124"/>
      <c r="Y34" s="124"/>
      <c r="Z34" s="124"/>
      <c r="AB34" s="27">
        <f t="shared" si="22"/>
        <v>1</v>
      </c>
      <c r="AC34" s="11">
        <f t="shared" si="23"/>
        <v>8234.41</v>
      </c>
      <c r="AD34" s="3" t="str">
        <f t="shared" si="24"/>
        <v>OK</v>
      </c>
    </row>
    <row r="35" spans="1:30" ht="30" outlineLevel="1" x14ac:dyDescent="0.25">
      <c r="A35" s="8" t="s">
        <v>434</v>
      </c>
      <c r="B35" s="68" t="s">
        <v>300</v>
      </c>
      <c r="C35" s="9" t="s">
        <v>540</v>
      </c>
      <c r="D35" s="59" t="s">
        <v>81</v>
      </c>
      <c r="E35" s="59">
        <f>4.752*1.1*44</f>
        <v>229.99680000000001</v>
      </c>
      <c r="F35" s="53">
        <v>8.91</v>
      </c>
      <c r="G35" s="53">
        <v>2.38</v>
      </c>
      <c r="H35" s="53">
        <f t="shared" si="25"/>
        <v>11.29</v>
      </c>
      <c r="I35" s="53">
        <f t="shared" si="26"/>
        <v>2596.66</v>
      </c>
      <c r="J35" s="58">
        <v>0.21129999999999999</v>
      </c>
      <c r="K35" s="53">
        <f t="shared" si="27"/>
        <v>2482.2800000000002</v>
      </c>
      <c r="L35" s="53">
        <f t="shared" si="27"/>
        <v>663.05</v>
      </c>
      <c r="M35" s="53">
        <f t="shared" si="28"/>
        <v>3145.33</v>
      </c>
      <c r="O35" s="169">
        <f t="shared" si="45"/>
        <v>1.3708894251196235E-3</v>
      </c>
      <c r="P35" s="170">
        <f t="shared" si="46"/>
        <v>663.05</v>
      </c>
      <c r="S35" s="124"/>
      <c r="T35" s="124"/>
      <c r="U35" s="162">
        <v>1</v>
      </c>
      <c r="V35" s="161">
        <f t="shared" si="47"/>
        <v>3145.33</v>
      </c>
      <c r="W35" s="124"/>
      <c r="X35" s="124"/>
      <c r="Y35" s="124"/>
      <c r="Z35" s="124"/>
      <c r="AB35" s="27">
        <f t="shared" si="22"/>
        <v>1</v>
      </c>
      <c r="AC35" s="11">
        <f t="shared" si="23"/>
        <v>3145.33</v>
      </c>
      <c r="AD35" s="3" t="str">
        <f t="shared" si="24"/>
        <v>OK</v>
      </c>
    </row>
    <row r="36" spans="1:30" ht="30" outlineLevel="1" x14ac:dyDescent="0.25">
      <c r="A36" s="8" t="s">
        <v>436</v>
      </c>
      <c r="B36" s="68" t="s">
        <v>301</v>
      </c>
      <c r="C36" s="9" t="s">
        <v>220</v>
      </c>
      <c r="D36" s="59" t="s">
        <v>437</v>
      </c>
      <c r="E36" s="59">
        <f>0.5*0.5*1.2*1.1*44</f>
        <v>14.520000000000001</v>
      </c>
      <c r="F36" s="53">
        <f>2.36+335.44+1.79</f>
        <v>339.59000000000003</v>
      </c>
      <c r="G36" s="53">
        <v>104.36</v>
      </c>
      <c r="H36" s="53">
        <f t="shared" si="25"/>
        <v>443.95000000000005</v>
      </c>
      <c r="I36" s="53">
        <f t="shared" si="26"/>
        <v>6446.15</v>
      </c>
      <c r="J36" s="58">
        <v>0.21129999999999999</v>
      </c>
      <c r="K36" s="53">
        <f t="shared" si="27"/>
        <v>5972.73</v>
      </c>
      <c r="L36" s="53">
        <f t="shared" si="27"/>
        <v>1835.49</v>
      </c>
      <c r="M36" s="53">
        <f t="shared" si="28"/>
        <v>7808.2199999999993</v>
      </c>
      <c r="O36" s="169">
        <f t="shared" si="45"/>
        <v>3.7949684502116246E-3</v>
      </c>
      <c r="P36" s="170">
        <f t="shared" si="46"/>
        <v>1835.49</v>
      </c>
      <c r="S36" s="124"/>
      <c r="T36" s="124"/>
      <c r="U36" s="162">
        <v>1</v>
      </c>
      <c r="V36" s="161">
        <f t="shared" si="47"/>
        <v>7808.22</v>
      </c>
      <c r="W36" s="124"/>
      <c r="X36" s="124"/>
      <c r="Y36" s="124"/>
      <c r="Z36" s="124"/>
      <c r="AB36" s="27">
        <f t="shared" si="22"/>
        <v>1</v>
      </c>
      <c r="AC36" s="11">
        <f t="shared" si="23"/>
        <v>7808.22</v>
      </c>
      <c r="AD36" s="3" t="str">
        <f t="shared" si="24"/>
        <v>OK</v>
      </c>
    </row>
    <row r="37" spans="1:30" ht="45" outlineLevel="1" x14ac:dyDescent="0.25">
      <c r="A37" s="8" t="s">
        <v>552</v>
      </c>
      <c r="B37" s="68" t="s">
        <v>541</v>
      </c>
      <c r="C37" s="9" t="s">
        <v>542</v>
      </c>
      <c r="D37" s="59" t="s">
        <v>437</v>
      </c>
      <c r="E37" s="59">
        <v>16</v>
      </c>
      <c r="F37" s="53">
        <v>14.88</v>
      </c>
      <c r="G37" s="53">
        <v>33.479999999999997</v>
      </c>
      <c r="H37" s="53">
        <f t="shared" si="25"/>
        <v>48.36</v>
      </c>
      <c r="I37" s="53">
        <f t="shared" si="26"/>
        <v>773.76</v>
      </c>
      <c r="J37" s="58">
        <v>0.21129999999999999</v>
      </c>
      <c r="K37" s="53">
        <f t="shared" si="27"/>
        <v>288.38</v>
      </c>
      <c r="L37" s="53">
        <f t="shared" si="27"/>
        <v>648.86</v>
      </c>
      <c r="M37" s="53">
        <f t="shared" si="28"/>
        <v>937.24</v>
      </c>
      <c r="S37" s="124"/>
      <c r="T37" s="124"/>
      <c r="U37" s="162">
        <v>0.75</v>
      </c>
      <c r="V37" s="161">
        <f t="shared" si="47"/>
        <v>702.93</v>
      </c>
      <c r="W37" s="162">
        <v>0.25</v>
      </c>
      <c r="X37" s="161">
        <f>TRUNC(W37*$M37,2)</f>
        <v>234.31</v>
      </c>
      <c r="Y37" s="124"/>
      <c r="Z37" s="124"/>
      <c r="AB37" s="27">
        <f t="shared" si="22"/>
        <v>1</v>
      </c>
      <c r="AC37" s="11">
        <f t="shared" si="23"/>
        <v>937.24</v>
      </c>
      <c r="AD37" s="3" t="str">
        <f t="shared" si="24"/>
        <v>OK</v>
      </c>
    </row>
    <row r="38" spans="1:30" outlineLevel="1" x14ac:dyDescent="0.25">
      <c r="A38" s="8" t="s">
        <v>553</v>
      </c>
      <c r="B38" s="8" t="s">
        <v>326</v>
      </c>
      <c r="C38" s="9" t="s">
        <v>222</v>
      </c>
      <c r="D38" s="59" t="s">
        <v>430</v>
      </c>
      <c r="E38" s="59">
        <v>3150.12</v>
      </c>
      <c r="F38" s="53">
        <f>0.4+0.01</f>
        <v>0.41000000000000003</v>
      </c>
      <c r="G38" s="53">
        <v>0.98</v>
      </c>
      <c r="H38" s="53">
        <f t="shared" si="25"/>
        <v>1.3900000000000001</v>
      </c>
      <c r="I38" s="53">
        <f t="shared" si="26"/>
        <v>4378.66</v>
      </c>
      <c r="J38" s="58">
        <v>0.21129999999999999</v>
      </c>
      <c r="K38" s="53">
        <f t="shared" si="27"/>
        <v>1564.45</v>
      </c>
      <c r="L38" s="53">
        <f t="shared" si="27"/>
        <v>3739.42</v>
      </c>
      <c r="M38" s="53">
        <f t="shared" si="28"/>
        <v>5303.87</v>
      </c>
      <c r="O38" s="20"/>
      <c r="P38" s="11"/>
      <c r="S38" s="124"/>
      <c r="T38" s="124"/>
      <c r="U38" s="124"/>
      <c r="V38" s="124"/>
      <c r="W38" s="124"/>
      <c r="X38" s="124"/>
      <c r="Y38" s="162">
        <v>1</v>
      </c>
      <c r="Z38" s="161">
        <f t="shared" ref="Z38" si="48">TRUNC(Y38*$M38,2)</f>
        <v>5303.87</v>
      </c>
      <c r="AB38" s="27">
        <f t="shared" si="22"/>
        <v>1</v>
      </c>
      <c r="AC38" s="11">
        <f t="shared" si="23"/>
        <v>5303.87</v>
      </c>
      <c r="AD38" s="3" t="str">
        <f t="shared" si="24"/>
        <v>OK</v>
      </c>
    </row>
    <row r="39" spans="1:30" x14ac:dyDescent="0.25">
      <c r="A39" s="39"/>
      <c r="B39" s="165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30" ht="30" customHeight="1" x14ac:dyDescent="0.25">
      <c r="A40" s="44"/>
      <c r="B40" s="44"/>
      <c r="C40" s="44" t="s">
        <v>404</v>
      </c>
      <c r="D40" s="44"/>
      <c r="E40" s="44"/>
      <c r="F40" s="47"/>
      <c r="G40" s="47"/>
      <c r="H40" s="44"/>
      <c r="I40" s="47">
        <f>SUM(I7:I39)</f>
        <v>411627.50454999995</v>
      </c>
      <c r="J40" s="72"/>
      <c r="K40" s="47">
        <f>SUM(K7:K39)</f>
        <v>432307</v>
      </c>
      <c r="L40" s="47">
        <f>SUM(L7:L39)</f>
        <v>51357.1</v>
      </c>
      <c r="M40" s="171">
        <f>M25+M14+M7</f>
        <v>483664.09999999992</v>
      </c>
      <c r="O40" s="169">
        <f>P40/$M$40</f>
        <v>0.58846579682056221</v>
      </c>
      <c r="P40" s="14">
        <f>SUM(P7:P38)</f>
        <v>284619.78000000003</v>
      </c>
      <c r="R40" s="34" t="s">
        <v>404</v>
      </c>
      <c r="S40" s="28">
        <f>T40/$M$40</f>
        <v>1.8470463282265526E-2</v>
      </c>
      <c r="T40" s="14">
        <f>SUM(T7:T39)/2</f>
        <v>8933.5</v>
      </c>
      <c r="U40" s="28">
        <f>V40/$M$40</f>
        <v>0.34697092465618184</v>
      </c>
      <c r="V40" s="14">
        <f>SUM(V7:V39)/2</f>
        <v>167817.37999999998</v>
      </c>
      <c r="W40" s="28">
        <f>X40/$M$40</f>
        <v>0.40279307478061749</v>
      </c>
      <c r="X40" s="14">
        <f>SUM(X7:X39)/2</f>
        <v>194816.55000000002</v>
      </c>
      <c r="Y40" s="28">
        <f>Z40/$M$40</f>
        <v>0.2317655372809353</v>
      </c>
      <c r="Z40" s="14">
        <f>SUM(Z7:Z39)/2</f>
        <v>112096.67</v>
      </c>
      <c r="AC40" s="33">
        <f>SUM(AC7:AC39)/2</f>
        <v>483664.10000000003</v>
      </c>
      <c r="AD40" s="3" t="str">
        <f t="shared" si="24"/>
        <v>OK</v>
      </c>
    </row>
    <row r="41" spans="1:30" x14ac:dyDescent="0.25">
      <c r="K41" s="36">
        <f>K40/$M$40</f>
        <v>0.89381659709703509</v>
      </c>
      <c r="L41" s="36">
        <f>L40/$M$40</f>
        <v>0.10618340290296512</v>
      </c>
      <c r="M41" s="36">
        <f>M40/$M$40</f>
        <v>1</v>
      </c>
      <c r="S41" s="29"/>
      <c r="U41" s="29"/>
      <c r="W41" s="29"/>
      <c r="Y41" s="29"/>
    </row>
    <row r="42" spans="1:30" ht="45" x14ac:dyDescent="0.25">
      <c r="R42" s="35" t="s">
        <v>405</v>
      </c>
      <c r="S42" s="28">
        <f>S40</f>
        <v>1.8470463282265526E-2</v>
      </c>
      <c r="T42" s="14">
        <f>T40</f>
        <v>8933.5</v>
      </c>
      <c r="U42" s="28">
        <f t="shared" ref="U42:Z42" si="49">U40+S42</f>
        <v>0.36544138793844738</v>
      </c>
      <c r="V42" s="14">
        <f t="shared" si="49"/>
        <v>176750.87999999998</v>
      </c>
      <c r="W42" s="28">
        <f t="shared" si="49"/>
        <v>0.76823446271906493</v>
      </c>
      <c r="X42" s="14">
        <f t="shared" si="49"/>
        <v>371567.43</v>
      </c>
      <c r="Y42" s="28">
        <f t="shared" si="49"/>
        <v>1.0000000000000002</v>
      </c>
      <c r="Z42" s="14">
        <f t="shared" si="49"/>
        <v>483664.1</v>
      </c>
    </row>
    <row r="43" spans="1:30" ht="18" x14ac:dyDescent="0.25">
      <c r="C43" s="117"/>
    </row>
  </sheetData>
  <conditionalFormatting sqref="AC8:AC12 AC26:AC38">
    <cfRule type="cellIs" dxfId="53" priority="17" operator="notEqual">
      <formula>$M8</formula>
    </cfRule>
    <cfRule type="cellIs" dxfId="52" priority="18" operator="equal">
      <formula>$M8</formula>
    </cfRule>
  </conditionalFormatting>
  <conditionalFormatting sqref="AC25">
    <cfRule type="cellIs" dxfId="51" priority="15" operator="notEqual">
      <formula>$M25</formula>
    </cfRule>
    <cfRule type="cellIs" dxfId="50" priority="16" operator="equal">
      <formula>$M25</formula>
    </cfRule>
  </conditionalFormatting>
  <conditionalFormatting sqref="AC7">
    <cfRule type="cellIs" dxfId="49" priority="13" operator="notEqual">
      <formula>$M7</formula>
    </cfRule>
    <cfRule type="cellIs" dxfId="48" priority="14" operator="equal">
      <formula>$M7</formula>
    </cfRule>
  </conditionalFormatting>
  <conditionalFormatting sqref="AC15">
    <cfRule type="cellIs" dxfId="47" priority="11" operator="notEqual">
      <formula>$M15</formula>
    </cfRule>
    <cfRule type="cellIs" dxfId="46" priority="12" operator="equal">
      <formula>$M15</formula>
    </cfRule>
  </conditionalFormatting>
  <conditionalFormatting sqref="AC16">
    <cfRule type="cellIs" dxfId="45" priority="9" operator="notEqual">
      <formula>$M16</formula>
    </cfRule>
    <cfRule type="cellIs" dxfId="44" priority="10" operator="equal">
      <formula>$M16</formula>
    </cfRule>
  </conditionalFormatting>
  <conditionalFormatting sqref="AC17">
    <cfRule type="cellIs" dxfId="43" priority="7" operator="notEqual">
      <formula>$M17</formula>
    </cfRule>
    <cfRule type="cellIs" dxfId="42" priority="8" operator="equal">
      <formula>$M17</formula>
    </cfRule>
  </conditionalFormatting>
  <conditionalFormatting sqref="AC18">
    <cfRule type="cellIs" dxfId="41" priority="5" operator="notEqual">
      <formula>$M18</formula>
    </cfRule>
    <cfRule type="cellIs" dxfId="40" priority="6" operator="equal">
      <formula>$M18</formula>
    </cfRule>
  </conditionalFormatting>
  <conditionalFormatting sqref="AC19:AC23">
    <cfRule type="cellIs" dxfId="39" priority="3" operator="notEqual">
      <formula>$M19</formula>
    </cfRule>
    <cfRule type="cellIs" dxfId="38" priority="4" operator="equal">
      <formula>$M19</formula>
    </cfRule>
  </conditionalFormatting>
  <conditionalFormatting sqref="AC14">
    <cfRule type="cellIs" dxfId="37" priority="1" operator="notEqual">
      <formula>$M14</formula>
    </cfRule>
    <cfRule type="cellIs" dxfId="36" priority="2" operator="equal">
      <formula>$M14</formula>
    </cfRule>
  </conditionalFormatting>
  <pageMargins left="0.70866141732283472" right="0.70866141732283472" top="0.74803149606299213" bottom="0.74803149606299213" header="0.31496062992125984" footer="0.31496062992125984"/>
  <pageSetup paperSize="9" scale="32" fitToHeight="0" orientation="landscape" r:id="rId1"/>
  <headerFooter>
    <oddHeader>&amp;LTRIBUNAL REGIONAL DO TRABALHO DA 24ª REGIÃO&amp;CEXECUÇÃO DA ESTRUTURA DE COBERTURA EM TELHA PERFURADA</oddHeader>
    <oddFooter>&amp;R&amp;P DE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J23"/>
  <sheetViews>
    <sheetView workbookViewId="0">
      <selection activeCell="A17" sqref="A17"/>
    </sheetView>
  </sheetViews>
  <sheetFormatPr defaultRowHeight="15" x14ac:dyDescent="0.25"/>
  <sheetData>
    <row r="16" spans="1:10" ht="23.25" x14ac:dyDescent="0.35">
      <c r="A16" s="182" t="s">
        <v>581</v>
      </c>
      <c r="B16" s="182"/>
      <c r="C16" s="182"/>
      <c r="D16" s="182"/>
      <c r="E16" s="182"/>
      <c r="F16" s="182"/>
      <c r="G16" s="182"/>
      <c r="H16" s="182"/>
      <c r="I16" s="182"/>
      <c r="J16" s="182"/>
    </row>
    <row r="19" spans="1:10" x14ac:dyDescent="0.25">
      <c r="A19" s="183" t="s">
        <v>578</v>
      </c>
      <c r="B19" s="183"/>
      <c r="C19" s="183"/>
      <c r="D19" s="183"/>
      <c r="E19" s="183"/>
      <c r="F19" s="183"/>
      <c r="G19" s="183"/>
      <c r="H19" s="183"/>
      <c r="I19" s="183"/>
      <c r="J19" s="183"/>
    </row>
    <row r="21" spans="1:10" x14ac:dyDescent="0.25">
      <c r="A21" s="183" t="s">
        <v>579</v>
      </c>
      <c r="B21" s="183"/>
      <c r="C21" s="183"/>
      <c r="D21" s="183"/>
      <c r="E21" s="183"/>
      <c r="F21" s="183"/>
      <c r="G21" s="183"/>
      <c r="H21" s="183"/>
      <c r="I21" s="183"/>
      <c r="J21" s="183"/>
    </row>
    <row r="23" spans="1:10" x14ac:dyDescent="0.25">
      <c r="A23" s="183" t="s">
        <v>577</v>
      </c>
      <c r="B23" s="183"/>
      <c r="C23" s="183"/>
      <c r="D23" s="183"/>
      <c r="E23" s="183"/>
      <c r="F23" s="183"/>
      <c r="G23" s="183"/>
      <c r="H23" s="183"/>
      <c r="I23" s="183"/>
      <c r="J23" s="183"/>
    </row>
  </sheetData>
  <mergeCells count="4">
    <mergeCell ref="A16:J16"/>
    <mergeCell ref="A19:J19"/>
    <mergeCell ref="A21:J21"/>
    <mergeCell ref="A23:J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6"/>
  <sheetViews>
    <sheetView workbookViewId="0">
      <selection activeCell="B3" sqref="B3"/>
    </sheetView>
  </sheetViews>
  <sheetFormatPr defaultRowHeight="15" x14ac:dyDescent="0.25"/>
  <cols>
    <col min="1" max="1" width="16.42578125" style="143" bestFit="1" customWidth="1"/>
    <col min="2" max="2" width="43.28515625" customWidth="1"/>
    <col min="3" max="3" width="27.42578125" customWidth="1"/>
    <col min="4" max="4" width="15.7109375" customWidth="1"/>
    <col min="6" max="6" width="18.28515625" customWidth="1"/>
    <col min="7" max="7" width="24.85546875" customWidth="1"/>
    <col min="8" max="8" width="13.85546875" customWidth="1"/>
    <col min="9" max="9" width="11.85546875" customWidth="1"/>
    <col min="10" max="10" width="11.28515625" customWidth="1"/>
    <col min="11" max="11" width="11.5703125" customWidth="1"/>
    <col min="13" max="13" width="20.7109375" bestFit="1" customWidth="1"/>
  </cols>
  <sheetData>
    <row r="1" spans="1:8" x14ac:dyDescent="0.25">
      <c r="A1"/>
    </row>
    <row r="2" spans="1:8" x14ac:dyDescent="0.25">
      <c r="A2"/>
    </row>
    <row r="3" spans="1:8" x14ac:dyDescent="0.25">
      <c r="A3"/>
    </row>
    <row r="4" spans="1:8" x14ac:dyDescent="0.25">
      <c r="A4"/>
    </row>
    <row r="5" spans="1:8" x14ac:dyDescent="0.25">
      <c r="A5"/>
    </row>
    <row r="6" spans="1:8" x14ac:dyDescent="0.25">
      <c r="A6"/>
    </row>
    <row r="7" spans="1:8" x14ac:dyDescent="0.25">
      <c r="A7" s="179" t="s">
        <v>448</v>
      </c>
      <c r="B7" s="172"/>
      <c r="C7" s="172"/>
      <c r="D7" s="172"/>
      <c r="E7" s="172"/>
      <c r="F7" s="172"/>
      <c r="G7" s="172"/>
      <c r="H7" s="172"/>
    </row>
    <row r="8" spans="1:8" x14ac:dyDescent="0.25">
      <c r="A8" s="136" t="s">
        <v>449</v>
      </c>
      <c r="B8" s="136"/>
      <c r="C8" s="136"/>
      <c r="D8" s="136"/>
      <c r="E8" s="136"/>
      <c r="F8" s="136"/>
      <c r="G8" s="136"/>
      <c r="H8" s="136"/>
    </row>
    <row r="9" spans="1:8" x14ac:dyDescent="0.25">
      <c r="A9" s="181" t="s">
        <v>450</v>
      </c>
      <c r="B9" s="172"/>
      <c r="C9" s="172"/>
      <c r="D9" s="172"/>
      <c r="E9" s="172"/>
      <c r="F9" s="172"/>
      <c r="G9" s="172"/>
      <c r="H9" s="172"/>
    </row>
    <row r="10" spans="1:8" x14ac:dyDescent="0.25">
      <c r="A10" s="181" t="s">
        <v>470</v>
      </c>
      <c r="B10" s="172"/>
      <c r="C10" s="172"/>
      <c r="D10" s="172"/>
      <c r="E10" s="172"/>
      <c r="F10" s="172"/>
      <c r="G10" s="172"/>
      <c r="H10" s="172"/>
    </row>
    <row r="11" spans="1:8" x14ac:dyDescent="0.25">
      <c r="A11" s="136" t="s">
        <v>4</v>
      </c>
      <c r="B11" s="136" t="s">
        <v>4</v>
      </c>
      <c r="C11" s="136"/>
      <c r="D11" s="136"/>
      <c r="E11" s="136"/>
      <c r="F11" s="136"/>
      <c r="G11" s="136"/>
      <c r="H11" s="136"/>
    </row>
    <row r="12" spans="1:8" x14ac:dyDescent="0.25">
      <c r="A12" s="172" t="s">
        <v>451</v>
      </c>
      <c r="B12" s="172"/>
      <c r="C12" s="172"/>
      <c r="D12" s="172"/>
      <c r="E12" s="172"/>
      <c r="F12" s="172"/>
      <c r="G12" s="172"/>
      <c r="H12" s="172"/>
    </row>
    <row r="13" spans="1:8" x14ac:dyDescent="0.25">
      <c r="A13" s="136"/>
      <c r="B13" s="136"/>
      <c r="C13" s="136"/>
      <c r="D13" s="136"/>
      <c r="E13" s="136"/>
      <c r="F13" s="136"/>
      <c r="G13" s="136"/>
      <c r="H13" s="136"/>
    </row>
    <row r="14" spans="1:8" x14ac:dyDescent="0.25">
      <c r="A14" s="172" t="s">
        <v>471</v>
      </c>
      <c r="B14" s="172"/>
      <c r="C14" s="172"/>
      <c r="D14" s="172"/>
      <c r="E14" s="172"/>
      <c r="F14" s="172"/>
      <c r="G14" s="172"/>
      <c r="H14" s="172"/>
    </row>
    <row r="15" spans="1:8" x14ac:dyDescent="0.25">
      <c r="A15" s="136"/>
      <c r="B15" s="136"/>
      <c r="C15" s="136"/>
      <c r="D15" s="136"/>
      <c r="E15" s="136"/>
      <c r="F15" s="136"/>
      <c r="G15" s="136"/>
      <c r="H15" s="136"/>
    </row>
    <row r="16" spans="1:8" x14ac:dyDescent="0.25">
      <c r="A16" s="135" t="s">
        <v>452</v>
      </c>
      <c r="B16" s="135" t="s">
        <v>453</v>
      </c>
      <c r="C16" s="135" t="s">
        <v>454</v>
      </c>
      <c r="D16" s="135" t="s">
        <v>455</v>
      </c>
      <c r="E16" s="135" t="s">
        <v>456</v>
      </c>
      <c r="F16" s="135" t="s">
        <v>457</v>
      </c>
      <c r="G16" s="135" t="s">
        <v>458</v>
      </c>
      <c r="H16" s="135" t="s">
        <v>459</v>
      </c>
    </row>
    <row r="17" spans="1:8" ht="45" x14ac:dyDescent="0.25">
      <c r="A17" s="136" t="s">
        <v>503</v>
      </c>
      <c r="B17" s="137" t="s">
        <v>508</v>
      </c>
      <c r="C17" s="136" t="s">
        <v>460</v>
      </c>
      <c r="D17" s="136" t="s">
        <v>507</v>
      </c>
      <c r="E17" s="136">
        <v>2</v>
      </c>
      <c r="F17" s="115">
        <f>5.89+33.03</f>
        <v>38.92</v>
      </c>
      <c r="G17" s="115">
        <f>F17*E17</f>
        <v>77.84</v>
      </c>
      <c r="H17" s="115">
        <v>2</v>
      </c>
    </row>
    <row r="18" spans="1:8" ht="45" x14ac:dyDescent="0.25">
      <c r="A18" s="136" t="s">
        <v>503</v>
      </c>
      <c r="B18" s="137" t="s">
        <v>508</v>
      </c>
      <c r="C18" s="136" t="s">
        <v>462</v>
      </c>
      <c r="D18" s="136" t="s">
        <v>507</v>
      </c>
      <c r="E18" s="136">
        <v>2</v>
      </c>
      <c r="F18" s="158">
        <v>16.39</v>
      </c>
      <c r="G18" s="115">
        <f>F18*E18</f>
        <v>32.78</v>
      </c>
      <c r="H18" s="115">
        <v>2</v>
      </c>
    </row>
    <row r="19" spans="1:8" ht="45" x14ac:dyDescent="0.25">
      <c r="A19" s="136" t="s">
        <v>504</v>
      </c>
      <c r="B19" s="137" t="s">
        <v>505</v>
      </c>
      <c r="C19" s="136" t="s">
        <v>460</v>
      </c>
      <c r="D19" s="136" t="s">
        <v>506</v>
      </c>
      <c r="E19" s="136">
        <v>6</v>
      </c>
      <c r="F19" s="115">
        <f>2.9+4.07</f>
        <v>6.9700000000000006</v>
      </c>
      <c r="G19" s="115">
        <f t="shared" ref="G19:G22" si="0">F19*E19</f>
        <v>41.820000000000007</v>
      </c>
      <c r="H19" s="115">
        <v>6</v>
      </c>
    </row>
    <row r="20" spans="1:8" ht="45" x14ac:dyDescent="0.25">
      <c r="A20" s="136" t="s">
        <v>504</v>
      </c>
      <c r="B20" s="137" t="s">
        <v>505</v>
      </c>
      <c r="C20" s="136" t="s">
        <v>462</v>
      </c>
      <c r="D20" s="136" t="s">
        <v>506</v>
      </c>
      <c r="E20" s="136">
        <v>6</v>
      </c>
      <c r="F20" s="158">
        <v>16.39</v>
      </c>
      <c r="G20" s="115">
        <f t="shared" si="0"/>
        <v>98.34</v>
      </c>
      <c r="H20" s="115">
        <v>6</v>
      </c>
    </row>
    <row r="21" spans="1:8" x14ac:dyDescent="0.25">
      <c r="A21" s="136" t="s">
        <v>502</v>
      </c>
      <c r="B21" s="137" t="s">
        <v>501</v>
      </c>
      <c r="C21" s="136" t="s">
        <v>462</v>
      </c>
      <c r="D21" s="136" t="s">
        <v>461</v>
      </c>
      <c r="E21" s="136">
        <v>8</v>
      </c>
      <c r="F21" s="158">
        <v>10.8</v>
      </c>
      <c r="G21" s="115">
        <f t="shared" si="0"/>
        <v>86.4</v>
      </c>
      <c r="H21" s="115">
        <v>8</v>
      </c>
    </row>
    <row r="22" spans="1:8" x14ac:dyDescent="0.25">
      <c r="A22" s="136" t="s">
        <v>502</v>
      </c>
      <c r="B22" s="137" t="s">
        <v>501</v>
      </c>
      <c r="C22" s="136" t="s">
        <v>460</v>
      </c>
      <c r="D22" s="136" t="s">
        <v>461</v>
      </c>
      <c r="E22" s="136">
        <v>8</v>
      </c>
      <c r="F22" s="115">
        <v>4.8</v>
      </c>
      <c r="G22" s="115">
        <f t="shared" si="0"/>
        <v>38.4</v>
      </c>
      <c r="H22" s="115">
        <v>8</v>
      </c>
    </row>
    <row r="23" spans="1:8" x14ac:dyDescent="0.25">
      <c r="A23" s="136"/>
      <c r="B23" s="136"/>
      <c r="C23" s="136"/>
      <c r="D23" s="136"/>
      <c r="E23" s="136"/>
      <c r="F23" s="136"/>
      <c r="G23" s="136"/>
      <c r="H23" s="136"/>
    </row>
    <row r="24" spans="1:8" x14ac:dyDescent="0.25">
      <c r="A24" s="136"/>
      <c r="B24" s="136"/>
      <c r="C24" s="136"/>
      <c r="D24" s="136"/>
      <c r="E24" s="136"/>
      <c r="F24" s="136"/>
      <c r="G24" s="136"/>
      <c r="H24" s="136"/>
    </row>
    <row r="25" spans="1:8" x14ac:dyDescent="0.25">
      <c r="A25" s="136"/>
      <c r="B25" s="136"/>
      <c r="C25" s="136"/>
      <c r="D25" s="136"/>
      <c r="E25" s="136"/>
      <c r="F25" s="156" t="s">
        <v>463</v>
      </c>
      <c r="G25" s="158">
        <f>G21+G20+G18</f>
        <v>217.52</v>
      </c>
      <c r="H25" s="136"/>
    </row>
    <row r="26" spans="1:8" x14ac:dyDescent="0.25">
      <c r="A26" s="136"/>
      <c r="B26" s="136"/>
      <c r="C26" s="136"/>
      <c r="D26" s="136"/>
      <c r="E26" s="136"/>
      <c r="F26" s="156" t="s">
        <v>464</v>
      </c>
      <c r="G26" s="158">
        <f>G17+G19+G22</f>
        <v>158.06</v>
      </c>
      <c r="H26" s="136"/>
    </row>
    <row r="27" spans="1:8" x14ac:dyDescent="0.25">
      <c r="A27" s="136"/>
      <c r="B27" s="136"/>
      <c r="C27" s="136"/>
      <c r="D27" s="136"/>
      <c r="E27" s="136"/>
      <c r="F27" s="156" t="s">
        <v>465</v>
      </c>
      <c r="G27" s="158">
        <f>G25+G26</f>
        <v>375.58000000000004</v>
      </c>
      <c r="H27" s="136"/>
    </row>
    <row r="28" spans="1:8" x14ac:dyDescent="0.25">
      <c r="A28" s="136"/>
      <c r="B28" s="136"/>
      <c r="C28" s="136"/>
      <c r="D28" s="136"/>
      <c r="E28" s="136"/>
      <c r="F28" s="136"/>
      <c r="G28" s="136"/>
      <c r="H28" s="136"/>
    </row>
    <row r="29" spans="1:8" x14ac:dyDescent="0.25">
      <c r="A29" s="136"/>
      <c r="B29" s="136"/>
      <c r="C29" s="136"/>
      <c r="D29" s="136"/>
      <c r="E29" s="136"/>
      <c r="F29" s="136"/>
      <c r="G29" s="136"/>
      <c r="H29" s="136"/>
    </row>
    <row r="30" spans="1:8" x14ac:dyDescent="0.25">
      <c r="A30" s="179" t="s">
        <v>466</v>
      </c>
      <c r="B30" s="172"/>
      <c r="C30" s="172"/>
      <c r="D30" s="172"/>
      <c r="E30" s="172"/>
      <c r="F30" s="172"/>
      <c r="G30" s="172"/>
      <c r="H30" s="172"/>
    </row>
    <row r="31" spans="1:8" x14ac:dyDescent="0.25">
      <c r="A31" s="136" t="s">
        <v>469</v>
      </c>
      <c r="B31" s="136"/>
      <c r="C31" s="136"/>
      <c r="D31" s="136"/>
      <c r="E31" s="136"/>
      <c r="F31" s="136"/>
      <c r="G31" s="136"/>
      <c r="H31" s="136"/>
    </row>
    <row r="32" spans="1:8" x14ac:dyDescent="0.25">
      <c r="A32" s="179" t="s">
        <v>467</v>
      </c>
      <c r="B32" s="172"/>
      <c r="C32" s="172"/>
      <c r="D32" s="172"/>
      <c r="E32" s="172"/>
      <c r="F32" s="172"/>
      <c r="G32" s="172"/>
      <c r="H32" s="172"/>
    </row>
    <row r="33" spans="1:8" ht="122.25" customHeight="1" x14ac:dyDescent="0.25">
      <c r="A33" s="174" t="s">
        <v>468</v>
      </c>
      <c r="B33" s="172"/>
      <c r="C33" s="172"/>
      <c r="D33" s="172"/>
      <c r="E33" s="172"/>
      <c r="F33" s="172"/>
      <c r="G33" s="172"/>
      <c r="H33" s="172"/>
    </row>
    <row r="34" spans="1:8" x14ac:dyDescent="0.25">
      <c r="A34"/>
    </row>
    <row r="35" spans="1:8" x14ac:dyDescent="0.25">
      <c r="A35" s="143">
        <v>93572</v>
      </c>
    </row>
    <row r="48" spans="1:8" x14ac:dyDescent="0.25">
      <c r="A48" s="143" t="s">
        <v>499</v>
      </c>
    </row>
    <row r="64" spans="1:1" x14ac:dyDescent="0.25">
      <c r="A64" s="143">
        <v>90777</v>
      </c>
    </row>
    <row r="78" spans="1:1" x14ac:dyDescent="0.25">
      <c r="A78" s="143">
        <v>98459</v>
      </c>
    </row>
    <row r="96" spans="1:1" x14ac:dyDescent="0.25">
      <c r="A96" s="143">
        <v>97637</v>
      </c>
    </row>
    <row r="109" spans="1:1" x14ac:dyDescent="0.25">
      <c r="A109" s="143">
        <v>97635</v>
      </c>
    </row>
    <row r="117" spans="1:1" x14ac:dyDescent="0.25">
      <c r="A117" s="143">
        <v>97627</v>
      </c>
    </row>
    <row r="130" spans="1:1" x14ac:dyDescent="0.25">
      <c r="A130" s="143" t="s">
        <v>517</v>
      </c>
    </row>
    <row r="137" spans="1:1" x14ac:dyDescent="0.25">
      <c r="A137" s="143" t="s">
        <v>331</v>
      </c>
    </row>
    <row r="142" spans="1:1" x14ac:dyDescent="0.25">
      <c r="A142" s="143">
        <v>97064</v>
      </c>
    </row>
    <row r="154" spans="1:1" x14ac:dyDescent="0.25">
      <c r="A154" s="143">
        <v>101009</v>
      </c>
    </row>
    <row r="167" spans="1:1" x14ac:dyDescent="0.25">
      <c r="A167" s="143">
        <v>94213</v>
      </c>
    </row>
    <row r="182" spans="2:6" x14ac:dyDescent="0.25">
      <c r="B182" t="s">
        <v>529</v>
      </c>
      <c r="C182" t="s">
        <v>532</v>
      </c>
    </row>
    <row r="185" spans="2:6" x14ac:dyDescent="0.25">
      <c r="B185" t="s">
        <v>530</v>
      </c>
      <c r="C185" t="s">
        <v>531</v>
      </c>
    </row>
    <row r="186" spans="2:6" x14ac:dyDescent="0.25">
      <c r="C186" s="142">
        <v>88.9</v>
      </c>
    </row>
    <row r="189" spans="2:6" x14ac:dyDescent="0.25">
      <c r="C189" s="142" t="s">
        <v>533</v>
      </c>
      <c r="D189" s="142"/>
      <c r="E189" s="142"/>
      <c r="F189" s="142">
        <f>45.58-40.89+C186</f>
        <v>93.59</v>
      </c>
    </row>
    <row r="190" spans="2:6" x14ac:dyDescent="0.25">
      <c r="C190" s="142" t="s">
        <v>534</v>
      </c>
      <c r="D190" s="142"/>
      <c r="E190" s="142"/>
      <c r="F190" s="142">
        <f>2.48</f>
        <v>2.48</v>
      </c>
    </row>
    <row r="191" spans="2:6" x14ac:dyDescent="0.25">
      <c r="C191" s="142" t="s">
        <v>535</v>
      </c>
      <c r="D191" s="142"/>
      <c r="E191" s="142"/>
      <c r="F191" s="142">
        <f>F189+F190</f>
        <v>96.070000000000007</v>
      </c>
    </row>
    <row r="194" spans="1:1" x14ac:dyDescent="0.25">
      <c r="A194" s="143">
        <v>83694</v>
      </c>
    </row>
    <row r="203" spans="1:1" x14ac:dyDescent="0.25">
      <c r="A203" s="143">
        <v>101173</v>
      </c>
    </row>
    <row r="216" spans="1:1" x14ac:dyDescent="0.25">
      <c r="A216" s="143">
        <v>96523</v>
      </c>
    </row>
    <row r="225" spans="1:1" x14ac:dyDescent="0.25">
      <c r="A225" s="143">
        <v>94994</v>
      </c>
    </row>
    <row r="243" spans="1:1" x14ac:dyDescent="0.25">
      <c r="A243" s="143">
        <v>96528</v>
      </c>
    </row>
    <row r="263" spans="1:1" x14ac:dyDescent="0.25">
      <c r="A263" s="143">
        <v>96545</v>
      </c>
    </row>
    <row r="275" spans="1:1" x14ac:dyDescent="0.25">
      <c r="A275" s="143">
        <v>96555</v>
      </c>
    </row>
    <row r="291" spans="1:9" s="136" customFormat="1" x14ac:dyDescent="0.25">
      <c r="A291" s="150" t="s">
        <v>543</v>
      </c>
      <c r="B291" s="151"/>
      <c r="C291" s="152"/>
      <c r="D291" s="152"/>
      <c r="E291" s="152"/>
      <c r="F291" s="152"/>
      <c r="G291" s="152"/>
      <c r="H291" s="152"/>
      <c r="I291" s="152"/>
    </row>
    <row r="292" spans="1:9" s="136" customFormat="1" x14ac:dyDescent="0.25">
      <c r="A292" s="150" t="s">
        <v>544</v>
      </c>
      <c r="B292" s="151"/>
      <c r="C292" s="152"/>
      <c r="D292" s="152"/>
      <c r="E292" s="152"/>
      <c r="F292" s="152"/>
      <c r="G292" s="152"/>
      <c r="H292" s="152"/>
      <c r="I292" s="152"/>
    </row>
    <row r="293" spans="1:9" s="136" customFormat="1" x14ac:dyDescent="0.25"/>
    <row r="294" spans="1:9" s="136" customFormat="1" x14ac:dyDescent="0.25">
      <c r="B294" s="172" t="s">
        <v>545</v>
      </c>
      <c r="C294" s="172"/>
      <c r="D294" s="172"/>
      <c r="E294" s="172"/>
      <c r="F294" s="172"/>
      <c r="G294" s="172"/>
      <c r="H294" s="172"/>
      <c r="I294" s="172"/>
    </row>
    <row r="295" spans="1:9" s="136" customFormat="1" x14ac:dyDescent="0.25"/>
    <row r="296" spans="1:9" s="136" customFormat="1" x14ac:dyDescent="0.25">
      <c r="B296" s="172" t="s">
        <v>546</v>
      </c>
      <c r="C296" s="172"/>
      <c r="D296" s="172"/>
      <c r="E296" s="172"/>
      <c r="F296" s="172"/>
      <c r="G296" s="172"/>
      <c r="H296" s="172"/>
      <c r="I296" s="172"/>
    </row>
    <row r="297" spans="1:9" s="136" customFormat="1" x14ac:dyDescent="0.25"/>
    <row r="298" spans="1:9" s="136" customFormat="1" x14ac:dyDescent="0.25">
      <c r="B298" s="135" t="s">
        <v>452</v>
      </c>
      <c r="C298" s="135" t="s">
        <v>453</v>
      </c>
      <c r="D298" s="135" t="s">
        <v>454</v>
      </c>
      <c r="E298" s="135" t="s">
        <v>455</v>
      </c>
      <c r="F298" s="135" t="s">
        <v>456</v>
      </c>
      <c r="G298" s="135" t="s">
        <v>457</v>
      </c>
      <c r="H298" s="135" t="s">
        <v>547</v>
      </c>
      <c r="I298" s="135" t="s">
        <v>459</v>
      </c>
    </row>
    <row r="299" spans="1:9" s="136" customFormat="1" ht="30" x14ac:dyDescent="0.25">
      <c r="B299" s="136" t="s">
        <v>502</v>
      </c>
      <c r="C299" s="137" t="s">
        <v>501</v>
      </c>
      <c r="D299" s="136" t="s">
        <v>462</v>
      </c>
      <c r="E299" s="136" t="s">
        <v>461</v>
      </c>
      <c r="F299" s="107">
        <v>3.1</v>
      </c>
      <c r="G299" s="107">
        <v>10.8</v>
      </c>
      <c r="H299" s="107">
        <f>F299*G299</f>
        <v>33.480000000000004</v>
      </c>
      <c r="I299" s="107">
        <f>F299</f>
        <v>3.1</v>
      </c>
    </row>
    <row r="300" spans="1:9" s="136" customFormat="1" ht="30" x14ac:dyDescent="0.25">
      <c r="B300" s="136" t="s">
        <v>502</v>
      </c>
      <c r="C300" s="137" t="s">
        <v>501</v>
      </c>
      <c r="D300" s="136" t="s">
        <v>460</v>
      </c>
      <c r="E300" s="136" t="s">
        <v>461</v>
      </c>
      <c r="F300" s="107">
        <v>3.1</v>
      </c>
      <c r="G300" s="107">
        <v>4.8</v>
      </c>
      <c r="H300" s="107">
        <f>F300*G300</f>
        <v>14.879999999999999</v>
      </c>
      <c r="I300" s="107">
        <f>F300</f>
        <v>3.1</v>
      </c>
    </row>
    <row r="301" spans="1:9" s="136" customFormat="1" x14ac:dyDescent="0.25">
      <c r="B301" s="153"/>
      <c r="C301" s="154"/>
      <c r="D301" s="153"/>
      <c r="E301" s="153"/>
      <c r="F301" s="153"/>
      <c r="G301" s="153"/>
      <c r="H301" s="155"/>
      <c r="I301" s="155"/>
    </row>
    <row r="302" spans="1:9" s="136" customFormat="1" x14ac:dyDescent="0.25"/>
    <row r="303" spans="1:9" s="136" customFormat="1" x14ac:dyDescent="0.25">
      <c r="G303" s="156" t="s">
        <v>548</v>
      </c>
      <c r="H303" s="157">
        <f>H299</f>
        <v>33.480000000000004</v>
      </c>
    </row>
    <row r="304" spans="1:9" s="136" customFormat="1" x14ac:dyDescent="0.25">
      <c r="G304" s="156" t="s">
        <v>549</v>
      </c>
      <c r="H304" s="157">
        <f>H300</f>
        <v>14.879999999999999</v>
      </c>
    </row>
    <row r="305" spans="2:9" s="136" customFormat="1" x14ac:dyDescent="0.25">
      <c r="G305" s="156" t="s">
        <v>550</v>
      </c>
      <c r="H305" s="157">
        <f>SUM(H303:H304)</f>
        <v>48.36</v>
      </c>
    </row>
    <row r="306" spans="2:9" s="136" customFormat="1" x14ac:dyDescent="0.25"/>
    <row r="307" spans="2:9" s="136" customFormat="1" x14ac:dyDescent="0.25">
      <c r="B307" s="181"/>
      <c r="C307" s="172"/>
      <c r="D307" s="172"/>
      <c r="E307" s="172"/>
      <c r="F307" s="172"/>
      <c r="G307" s="172"/>
      <c r="H307" s="172"/>
      <c r="I307" s="172"/>
    </row>
    <row r="308" spans="2:9" s="136" customFormat="1" x14ac:dyDescent="0.25"/>
    <row r="309" spans="2:9" s="136" customFormat="1" x14ac:dyDescent="0.25"/>
    <row r="310" spans="2:9" s="136" customFormat="1" x14ac:dyDescent="0.25"/>
    <row r="311" spans="2:9" s="136" customFormat="1" x14ac:dyDescent="0.25"/>
    <row r="312" spans="2:9" s="136" customFormat="1" x14ac:dyDescent="0.25"/>
    <row r="313" spans="2:9" s="136" customFormat="1" x14ac:dyDescent="0.25">
      <c r="B313" s="179" t="s">
        <v>466</v>
      </c>
      <c r="C313" s="172"/>
      <c r="D313" s="172"/>
      <c r="E313" s="172"/>
      <c r="F313" s="172"/>
      <c r="G313" s="172"/>
      <c r="H313" s="172"/>
      <c r="I313" s="172"/>
    </row>
    <row r="314" spans="2:9" s="136" customFormat="1" ht="15" customHeight="1" x14ac:dyDescent="0.25">
      <c r="B314" s="180"/>
      <c r="C314" s="172"/>
      <c r="D314" s="172"/>
      <c r="E314" s="172"/>
      <c r="F314" s="172"/>
      <c r="G314" s="172"/>
      <c r="H314" s="172"/>
      <c r="I314" s="172"/>
    </row>
    <row r="315" spans="2:9" s="136" customFormat="1" ht="15" customHeight="1" x14ac:dyDescent="0.25">
      <c r="B315" s="174"/>
      <c r="C315" s="172"/>
      <c r="D315" s="172"/>
      <c r="E315" s="172"/>
      <c r="F315" s="172"/>
      <c r="G315" s="172"/>
      <c r="H315" s="172"/>
      <c r="I315" s="172"/>
    </row>
    <row r="316" spans="2:9" s="136" customFormat="1" ht="15" customHeight="1" x14ac:dyDescent="0.25">
      <c r="B316" s="180"/>
      <c r="C316" s="172"/>
      <c r="D316" s="172"/>
      <c r="E316" s="172"/>
      <c r="F316" s="172"/>
      <c r="G316" s="172"/>
      <c r="H316" s="172"/>
      <c r="I316" s="172"/>
    </row>
    <row r="317" spans="2:9" s="136" customFormat="1" ht="15" customHeight="1" x14ac:dyDescent="0.25">
      <c r="B317" s="174"/>
      <c r="C317" s="172"/>
      <c r="D317" s="172"/>
      <c r="E317" s="172"/>
      <c r="F317" s="172"/>
      <c r="G317" s="172"/>
      <c r="H317" s="172"/>
      <c r="I317" s="172"/>
    </row>
    <row r="318" spans="2:9" s="136" customFormat="1" x14ac:dyDescent="0.25">
      <c r="B318" s="180"/>
      <c r="C318" s="172"/>
      <c r="D318" s="172"/>
      <c r="E318" s="172"/>
      <c r="F318" s="172"/>
      <c r="G318" s="172"/>
      <c r="H318" s="172"/>
      <c r="I318" s="172"/>
    </row>
    <row r="319" spans="2:9" s="136" customFormat="1" x14ac:dyDescent="0.25">
      <c r="B319" s="174"/>
      <c r="C319" s="172"/>
      <c r="D319" s="172"/>
      <c r="E319" s="172"/>
      <c r="F319" s="172"/>
      <c r="G319" s="172"/>
      <c r="H319" s="172"/>
      <c r="I319" s="172"/>
    </row>
    <row r="320" spans="2:9" s="136" customFormat="1" x14ac:dyDescent="0.25">
      <c r="B320" s="174"/>
      <c r="C320" s="172"/>
      <c r="D320" s="172"/>
      <c r="E320" s="172"/>
      <c r="F320" s="172"/>
      <c r="G320" s="172"/>
      <c r="H320" s="172"/>
      <c r="I320" s="172"/>
    </row>
    <row r="321" spans="1:9" s="136" customFormat="1" x14ac:dyDescent="0.25"/>
    <row r="322" spans="1:9" s="136" customFormat="1" x14ac:dyDescent="0.25">
      <c r="B322" s="179" t="s">
        <v>467</v>
      </c>
      <c r="C322" s="172"/>
      <c r="D322" s="172"/>
      <c r="E322" s="172"/>
      <c r="F322" s="172"/>
      <c r="G322" s="172"/>
      <c r="H322" s="172"/>
      <c r="I322" s="172"/>
    </row>
    <row r="323" spans="1:9" s="136" customFormat="1" ht="149.25" customHeight="1" x14ac:dyDescent="0.25">
      <c r="B323" s="174" t="s">
        <v>468</v>
      </c>
      <c r="C323" s="172"/>
      <c r="D323" s="172"/>
      <c r="E323" s="172"/>
      <c r="F323" s="172"/>
      <c r="G323" s="172"/>
      <c r="H323" s="172"/>
      <c r="I323" s="172"/>
    </row>
    <row r="325" spans="1:9" x14ac:dyDescent="0.25">
      <c r="A325" s="143">
        <v>99814</v>
      </c>
    </row>
    <row r="337" spans="1:8" s="140" customFormat="1" x14ac:dyDescent="0.25">
      <c r="A337" s="176"/>
      <c r="B337" s="172"/>
      <c r="C337" s="172"/>
      <c r="D337" s="172"/>
      <c r="E337" s="172"/>
      <c r="F337" s="172"/>
      <c r="G337" s="172"/>
      <c r="H337" s="172"/>
    </row>
    <row r="338" spans="1:8" s="140" customFormat="1" x14ac:dyDescent="0.25"/>
    <row r="339" spans="1:8" s="140" customFormat="1" x14ac:dyDescent="0.25">
      <c r="A339" s="177" t="s">
        <v>556</v>
      </c>
      <c r="B339" s="178"/>
      <c r="C339" s="178"/>
      <c r="D339" s="178"/>
      <c r="E339" s="178"/>
      <c r="F339" s="178"/>
      <c r="G339" s="178"/>
      <c r="H339" s="178"/>
    </row>
    <row r="340" spans="1:8" s="140" customFormat="1" x14ac:dyDescent="0.25">
      <c r="A340" s="177" t="s">
        <v>557</v>
      </c>
      <c r="B340" s="178"/>
      <c r="C340" s="178"/>
      <c r="D340" s="178"/>
      <c r="E340" s="178"/>
      <c r="F340" s="178"/>
      <c r="G340" s="178"/>
      <c r="H340" s="178"/>
    </row>
    <row r="341" spans="1:8" s="140" customFormat="1" x14ac:dyDescent="0.25"/>
    <row r="342" spans="1:8" s="140" customFormat="1" x14ac:dyDescent="0.25">
      <c r="A342" s="172" t="s">
        <v>545</v>
      </c>
      <c r="B342" s="172"/>
      <c r="C342" s="172"/>
      <c r="D342" s="172"/>
      <c r="E342" s="172"/>
      <c r="F342" s="172"/>
      <c r="G342" s="172"/>
      <c r="H342" s="172"/>
    </row>
    <row r="343" spans="1:8" s="140" customFormat="1" x14ac:dyDescent="0.25"/>
    <row r="344" spans="1:8" s="140" customFormat="1" x14ac:dyDescent="0.25">
      <c r="A344" s="172" t="s">
        <v>566</v>
      </c>
      <c r="B344" s="172"/>
      <c r="C344" s="172"/>
      <c r="D344" s="172"/>
      <c r="E344" s="172"/>
      <c r="F344" s="172"/>
      <c r="G344" s="172"/>
      <c r="H344" s="172"/>
    </row>
    <row r="345" spans="1:8" s="140" customFormat="1" x14ac:dyDescent="0.25"/>
    <row r="346" spans="1:8" s="140" customFormat="1" x14ac:dyDescent="0.25">
      <c r="A346" s="159" t="s">
        <v>452</v>
      </c>
      <c r="B346" s="159" t="s">
        <v>453</v>
      </c>
      <c r="C346" s="159" t="s">
        <v>454</v>
      </c>
      <c r="D346" s="159" t="s">
        <v>455</v>
      </c>
      <c r="E346" s="159" t="s">
        <v>456</v>
      </c>
      <c r="F346" s="159" t="s">
        <v>457</v>
      </c>
      <c r="G346" s="159" t="s">
        <v>547</v>
      </c>
      <c r="H346" s="159" t="s">
        <v>459</v>
      </c>
    </row>
    <row r="347" spans="1:8" s="140" customFormat="1" x14ac:dyDescent="0.25">
      <c r="A347" s="140" t="s">
        <v>569</v>
      </c>
      <c r="B347" s="141" t="s">
        <v>568</v>
      </c>
      <c r="C347" s="140" t="s">
        <v>462</v>
      </c>
      <c r="D347" s="140" t="s">
        <v>461</v>
      </c>
      <c r="E347" s="140">
        <v>0.5</v>
      </c>
      <c r="F347" s="140">
        <v>4.8600000000000003</v>
      </c>
      <c r="G347" s="140">
        <f t="shared" ref="G347:G352" si="1">TRUNC(E347*F347,2)</f>
        <v>2.4300000000000002</v>
      </c>
      <c r="H347" s="140">
        <f t="shared" ref="H347:H352" si="2">E347</f>
        <v>0.5</v>
      </c>
    </row>
    <row r="348" spans="1:8" s="140" customFormat="1" x14ac:dyDescent="0.25">
      <c r="A348" s="140" t="s">
        <v>569</v>
      </c>
      <c r="B348" s="141" t="s">
        <v>568</v>
      </c>
      <c r="C348" s="140" t="s">
        <v>460</v>
      </c>
      <c r="D348" s="140" t="s">
        <v>461</v>
      </c>
      <c r="E348" s="140">
        <v>0.5</v>
      </c>
      <c r="F348" s="140">
        <v>14.47</v>
      </c>
      <c r="G348" s="140">
        <f t="shared" si="1"/>
        <v>7.23</v>
      </c>
      <c r="H348" s="140">
        <f t="shared" si="2"/>
        <v>0.5</v>
      </c>
    </row>
    <row r="349" spans="1:8" s="140" customFormat="1" ht="30" x14ac:dyDescent="0.25">
      <c r="A349" s="140" t="s">
        <v>571</v>
      </c>
      <c r="B349" s="141" t="s">
        <v>570</v>
      </c>
      <c r="C349" s="140" t="s">
        <v>462</v>
      </c>
      <c r="D349" s="140" t="s">
        <v>461</v>
      </c>
      <c r="E349" s="140">
        <v>0.5</v>
      </c>
      <c r="F349" s="140">
        <v>10.58</v>
      </c>
      <c r="G349" s="140">
        <f t="shared" si="1"/>
        <v>5.29</v>
      </c>
      <c r="H349" s="140">
        <f t="shared" si="2"/>
        <v>0.5</v>
      </c>
    </row>
    <row r="350" spans="1:8" s="140" customFormat="1" ht="30" x14ac:dyDescent="0.25">
      <c r="A350" s="140" t="s">
        <v>571</v>
      </c>
      <c r="B350" s="141" t="s">
        <v>570</v>
      </c>
      <c r="C350" s="140" t="s">
        <v>460</v>
      </c>
      <c r="D350" s="140" t="s">
        <v>461</v>
      </c>
      <c r="E350" s="140">
        <v>0.5</v>
      </c>
      <c r="F350" s="140">
        <v>4.8600000000000003</v>
      </c>
      <c r="G350" s="140">
        <f t="shared" si="1"/>
        <v>2.4300000000000002</v>
      </c>
      <c r="H350" s="140">
        <f t="shared" si="2"/>
        <v>0.5</v>
      </c>
    </row>
    <row r="351" spans="1:8" s="140" customFormat="1" ht="30" x14ac:dyDescent="0.25">
      <c r="A351" s="140" t="s">
        <v>572</v>
      </c>
      <c r="B351" s="141" t="s">
        <v>573</v>
      </c>
      <c r="C351" s="140" t="s">
        <v>460</v>
      </c>
      <c r="D351" s="140" t="s">
        <v>558</v>
      </c>
      <c r="E351" s="140">
        <v>0.2</v>
      </c>
      <c r="F351" s="140">
        <v>33.35</v>
      </c>
      <c r="G351" s="140">
        <f t="shared" si="1"/>
        <v>6.67</v>
      </c>
      <c r="H351" s="140">
        <f t="shared" si="2"/>
        <v>0.2</v>
      </c>
    </row>
    <row r="352" spans="1:8" s="140" customFormat="1" ht="30" x14ac:dyDescent="0.25">
      <c r="A352" s="140" t="s">
        <v>567</v>
      </c>
      <c r="B352" s="141" t="s">
        <v>559</v>
      </c>
      <c r="C352" s="140" t="s">
        <v>460</v>
      </c>
      <c r="D352" s="140" t="s">
        <v>558</v>
      </c>
      <c r="E352" s="140">
        <v>1</v>
      </c>
      <c r="F352" s="156">
        <v>30.15</v>
      </c>
      <c r="G352" s="140">
        <f t="shared" si="1"/>
        <v>30.15</v>
      </c>
      <c r="H352" s="140">
        <f t="shared" si="2"/>
        <v>1</v>
      </c>
    </row>
    <row r="353" spans="1:8" s="140" customFormat="1" ht="30" x14ac:dyDescent="0.25">
      <c r="F353" s="160" t="s">
        <v>548</v>
      </c>
      <c r="G353" s="156">
        <f>G347+G349</f>
        <v>7.7200000000000006</v>
      </c>
    </row>
    <row r="354" spans="1:8" s="140" customFormat="1" ht="30" x14ac:dyDescent="0.25">
      <c r="F354" s="160" t="s">
        <v>549</v>
      </c>
      <c r="G354" s="156">
        <f>G348+G350+G351+G352</f>
        <v>46.48</v>
      </c>
    </row>
    <row r="355" spans="1:8" s="140" customFormat="1" ht="30" x14ac:dyDescent="0.25">
      <c r="F355" s="160" t="s">
        <v>550</v>
      </c>
      <c r="G355" s="156">
        <f>G353+G354</f>
        <v>54.199999999999996</v>
      </c>
    </row>
    <row r="356" spans="1:8" s="140" customFormat="1" x14ac:dyDescent="0.25"/>
    <row r="357" spans="1:8" s="140" customFormat="1" x14ac:dyDescent="0.25">
      <c r="A357" s="173"/>
      <c r="B357" s="172"/>
      <c r="C357" s="172"/>
      <c r="D357" s="172"/>
      <c r="E357" s="172"/>
      <c r="F357" s="172"/>
      <c r="G357" s="172"/>
      <c r="H357" s="172"/>
    </row>
    <row r="358" spans="1:8" s="140" customFormat="1" x14ac:dyDescent="0.25"/>
    <row r="359" spans="1:8" s="140" customFormat="1" x14ac:dyDescent="0.25"/>
    <row r="360" spans="1:8" s="140" customFormat="1" x14ac:dyDescent="0.25"/>
    <row r="361" spans="1:8" s="140" customFormat="1" x14ac:dyDescent="0.25"/>
    <row r="362" spans="1:8" s="140" customFormat="1" x14ac:dyDescent="0.25"/>
    <row r="363" spans="1:8" s="140" customFormat="1" x14ac:dyDescent="0.25">
      <c r="A363" s="176" t="s">
        <v>466</v>
      </c>
      <c r="B363" s="172"/>
      <c r="C363" s="172"/>
      <c r="D363" s="172"/>
      <c r="E363" s="172"/>
      <c r="F363" s="172"/>
      <c r="G363" s="172"/>
      <c r="H363" s="172"/>
    </row>
    <row r="364" spans="1:8" s="140" customFormat="1" x14ac:dyDescent="0.25">
      <c r="A364" s="175" t="s">
        <v>560</v>
      </c>
      <c r="B364" s="172"/>
      <c r="C364" s="172"/>
      <c r="D364" s="172"/>
      <c r="E364" s="172"/>
      <c r="F364" s="172"/>
      <c r="G364" s="172"/>
      <c r="H364" s="172"/>
    </row>
    <row r="365" spans="1:8" s="140" customFormat="1" x14ac:dyDescent="0.25">
      <c r="A365" s="174" t="s">
        <v>561</v>
      </c>
      <c r="B365" s="172"/>
      <c r="C365" s="172"/>
      <c r="D365" s="172"/>
      <c r="E365" s="172"/>
      <c r="F365" s="172"/>
      <c r="G365" s="172"/>
      <c r="H365" s="172"/>
    </row>
    <row r="366" spans="1:8" s="140" customFormat="1" x14ac:dyDescent="0.25">
      <c r="A366" s="175" t="s">
        <v>562</v>
      </c>
      <c r="B366" s="172"/>
      <c r="C366" s="172"/>
      <c r="D366" s="172"/>
      <c r="E366" s="172"/>
      <c r="F366" s="172"/>
      <c r="G366" s="172"/>
      <c r="H366" s="172"/>
    </row>
    <row r="367" spans="1:8" s="140" customFormat="1" x14ac:dyDescent="0.25">
      <c r="A367" s="174" t="s">
        <v>563</v>
      </c>
      <c r="B367" s="172"/>
      <c r="C367" s="172"/>
      <c r="D367" s="172"/>
      <c r="E367" s="172"/>
      <c r="F367" s="172"/>
      <c r="G367" s="172"/>
      <c r="H367" s="172"/>
    </row>
    <row r="368" spans="1:8" s="140" customFormat="1" x14ac:dyDescent="0.25">
      <c r="A368" s="175" t="s">
        <v>564</v>
      </c>
      <c r="B368" s="172"/>
      <c r="C368" s="172"/>
      <c r="D368" s="172"/>
      <c r="E368" s="172"/>
      <c r="F368" s="172"/>
      <c r="G368" s="172"/>
      <c r="H368" s="172"/>
    </row>
    <row r="369" spans="1:8" s="140" customFormat="1" x14ac:dyDescent="0.25">
      <c r="A369" s="174" t="s">
        <v>565</v>
      </c>
      <c r="B369" s="172"/>
      <c r="C369" s="172"/>
      <c r="D369" s="172"/>
      <c r="E369" s="172"/>
      <c r="F369" s="172"/>
      <c r="G369" s="172"/>
      <c r="H369" s="172"/>
    </row>
    <row r="370" spans="1:8" s="140" customFormat="1" x14ac:dyDescent="0.25"/>
    <row r="371" spans="1:8" s="140" customFormat="1" x14ac:dyDescent="0.25">
      <c r="A371" s="176" t="s">
        <v>467</v>
      </c>
      <c r="B371" s="172"/>
      <c r="C371" s="172"/>
      <c r="D371" s="172"/>
      <c r="E371" s="172"/>
      <c r="F371" s="172"/>
      <c r="G371" s="172"/>
      <c r="H371" s="172"/>
    </row>
    <row r="372" spans="1:8" s="140" customFormat="1" ht="200.1" customHeight="1" x14ac:dyDescent="0.25">
      <c r="A372" s="174" t="s">
        <v>468</v>
      </c>
      <c r="B372" s="172"/>
      <c r="C372" s="172"/>
      <c r="D372" s="172"/>
      <c r="E372" s="172"/>
      <c r="F372" s="172"/>
      <c r="G372" s="172"/>
      <c r="H372" s="172"/>
    </row>
    <row r="373" spans="1:8" x14ac:dyDescent="0.25">
      <c r="D373" t="s">
        <v>575</v>
      </c>
      <c r="E373" t="s">
        <v>576</v>
      </c>
      <c r="G373" s="142" t="s">
        <v>404</v>
      </c>
    </row>
    <row r="374" spans="1:8" x14ac:dyDescent="0.25">
      <c r="B374" s="142" t="s">
        <v>574</v>
      </c>
      <c r="C374">
        <v>26.6</v>
      </c>
      <c r="D374">
        <f>AVERAGE(C374:C376)</f>
        <v>26.213333333333335</v>
      </c>
      <c r="F374">
        <f>D374*0.15</f>
        <v>3.9319999999999999</v>
      </c>
      <c r="G374" s="142">
        <f>D374+F374</f>
        <v>30.145333333333333</v>
      </c>
    </row>
    <row r="375" spans="1:8" x14ac:dyDescent="0.25">
      <c r="C375">
        <v>28.14</v>
      </c>
    </row>
    <row r="376" spans="1:8" x14ac:dyDescent="0.25">
      <c r="C376">
        <v>23.9</v>
      </c>
    </row>
  </sheetData>
  <mergeCells count="36">
    <mergeCell ref="B320:I320"/>
    <mergeCell ref="B322:I322"/>
    <mergeCell ref="B323:I323"/>
    <mergeCell ref="B314:I314"/>
    <mergeCell ref="B315:I315"/>
    <mergeCell ref="B316:I316"/>
    <mergeCell ref="B317:I317"/>
    <mergeCell ref="B318:I318"/>
    <mergeCell ref="B319:I319"/>
    <mergeCell ref="B313:I313"/>
    <mergeCell ref="A7:H7"/>
    <mergeCell ref="A9:H9"/>
    <mergeCell ref="A10:H10"/>
    <mergeCell ref="A12:H12"/>
    <mergeCell ref="A14:H14"/>
    <mergeCell ref="A30:H30"/>
    <mergeCell ref="A32:H32"/>
    <mergeCell ref="A33:H33"/>
    <mergeCell ref="B294:I294"/>
    <mergeCell ref="B296:I296"/>
    <mergeCell ref="B307:I307"/>
    <mergeCell ref="A367:H367"/>
    <mergeCell ref="A368:H368"/>
    <mergeCell ref="A369:H369"/>
    <mergeCell ref="A371:H371"/>
    <mergeCell ref="A372:H372"/>
    <mergeCell ref="A357:H357"/>
    <mergeCell ref="A363:H363"/>
    <mergeCell ref="A364:H364"/>
    <mergeCell ref="A365:H365"/>
    <mergeCell ref="A366:H366"/>
    <mergeCell ref="A337:H337"/>
    <mergeCell ref="A339:H339"/>
    <mergeCell ref="A340:H340"/>
    <mergeCell ref="A342:H342"/>
    <mergeCell ref="A344:H344"/>
  </mergeCells>
  <pageMargins left="0.511811024" right="0.511811024" top="0.78740157499999996" bottom="0.78740157499999996" header="0.31496062000000002" footer="0.31496062000000002"/>
  <pageSetup paperSize="9" scale="7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2"/>
  <sheetViews>
    <sheetView topLeftCell="A13" workbookViewId="0">
      <selection activeCell="B3" sqref="B3"/>
    </sheetView>
  </sheetViews>
  <sheetFormatPr defaultRowHeight="15" x14ac:dyDescent="0.25"/>
  <cols>
    <col min="1" max="1" width="32.7109375" customWidth="1"/>
    <col min="2" max="2" width="28.140625" customWidth="1"/>
    <col min="3" max="3" width="19.5703125" customWidth="1"/>
    <col min="4" max="4" width="23.5703125" customWidth="1"/>
    <col min="8" max="11" width="19.5703125" customWidth="1"/>
    <col min="12" max="12" width="5.85546875" customWidth="1"/>
  </cols>
  <sheetData>
    <row r="5" spans="1:7" ht="15.75" thickBot="1" x14ac:dyDescent="0.3">
      <c r="A5" s="102" t="s">
        <v>439</v>
      </c>
    </row>
    <row r="6" spans="1:7" ht="30.75" thickBot="1" x14ac:dyDescent="0.3">
      <c r="A6" s="103" t="s">
        <v>440</v>
      </c>
      <c r="B6" s="103" t="s">
        <v>441</v>
      </c>
      <c r="C6" s="103" t="s">
        <v>442</v>
      </c>
      <c r="D6" s="103" t="s">
        <v>443</v>
      </c>
      <c r="E6" s="103" t="s">
        <v>444</v>
      </c>
      <c r="F6" s="103" t="s">
        <v>445</v>
      </c>
      <c r="G6" s="104" t="s">
        <v>446</v>
      </c>
    </row>
    <row r="7" spans="1:7" ht="30" x14ac:dyDescent="0.25">
      <c r="A7" s="105" t="s">
        <v>476</v>
      </c>
      <c r="B7" s="105" t="s">
        <v>474</v>
      </c>
      <c r="C7" s="105" t="s">
        <v>475</v>
      </c>
      <c r="D7" s="105" t="s">
        <v>477</v>
      </c>
      <c r="E7" s="106">
        <v>44021</v>
      </c>
      <c r="F7" s="3" t="s">
        <v>156</v>
      </c>
      <c r="G7" s="107">
        <v>88.9</v>
      </c>
    </row>
    <row r="8" spans="1:7" ht="30" x14ac:dyDescent="0.25">
      <c r="A8" s="105" t="s">
        <v>476</v>
      </c>
      <c r="B8" s="118" t="s">
        <v>479</v>
      </c>
      <c r="C8" s="105" t="s">
        <v>480</v>
      </c>
      <c r="D8" s="3" t="s">
        <v>478</v>
      </c>
      <c r="E8" s="106">
        <v>44018</v>
      </c>
      <c r="F8" s="3" t="s">
        <v>177</v>
      </c>
      <c r="G8" s="107">
        <v>102.65</v>
      </c>
    </row>
    <row r="9" spans="1:7" ht="30.75" thickBot="1" x14ac:dyDescent="0.3">
      <c r="A9" s="105" t="s">
        <v>476</v>
      </c>
      <c r="B9" s="105" t="s">
        <v>481</v>
      </c>
      <c r="C9" s="3" t="s">
        <v>483</v>
      </c>
      <c r="D9" s="108" t="s">
        <v>482</v>
      </c>
      <c r="E9" s="106">
        <v>44012</v>
      </c>
      <c r="F9" s="108" t="s">
        <v>156</v>
      </c>
      <c r="G9" s="107">
        <v>80</v>
      </c>
    </row>
    <row r="10" spans="1:7" ht="15.75" thickBot="1" x14ac:dyDescent="0.3">
      <c r="A10" s="109" t="s">
        <v>447</v>
      </c>
      <c r="B10" s="110"/>
      <c r="C10" s="110"/>
      <c r="D10" s="110"/>
      <c r="E10" s="110"/>
      <c r="F10" s="111"/>
      <c r="G10" s="112">
        <v>88.9</v>
      </c>
    </row>
    <row r="11" spans="1:7" ht="15.75" thickBot="1" x14ac:dyDescent="0.3"/>
    <row r="12" spans="1:7" ht="30.75" thickBot="1" x14ac:dyDescent="0.3">
      <c r="A12" s="103" t="s">
        <v>440</v>
      </c>
      <c r="B12" s="103" t="s">
        <v>441</v>
      </c>
      <c r="C12" s="103" t="s">
        <v>442</v>
      </c>
      <c r="D12" s="103" t="s">
        <v>443</v>
      </c>
      <c r="E12" s="103" t="s">
        <v>444</v>
      </c>
      <c r="F12" s="103" t="s">
        <v>445</v>
      </c>
      <c r="G12" s="104" t="s">
        <v>446</v>
      </c>
    </row>
    <row r="13" spans="1:7" ht="29.25" customHeight="1" x14ac:dyDescent="0.25">
      <c r="A13" s="105" t="s">
        <v>484</v>
      </c>
      <c r="B13" s="105" t="s">
        <v>485</v>
      </c>
      <c r="C13" s="105" t="s">
        <v>486</v>
      </c>
      <c r="D13" s="105" t="s">
        <v>487</v>
      </c>
      <c r="E13" s="106">
        <v>44020</v>
      </c>
      <c r="F13" s="3" t="s">
        <v>488</v>
      </c>
      <c r="G13" s="107">
        <v>535</v>
      </c>
    </row>
    <row r="14" spans="1:7" ht="29.25" customHeight="1" x14ac:dyDescent="0.25">
      <c r="A14" s="105" t="s">
        <v>484</v>
      </c>
      <c r="B14" s="105" t="s">
        <v>489</v>
      </c>
      <c r="C14" s="105"/>
      <c r="D14" s="3"/>
      <c r="E14" s="106"/>
      <c r="F14" s="3"/>
      <c r="G14" s="107">
        <v>345</v>
      </c>
    </row>
    <row r="15" spans="1:7" ht="30.75" customHeight="1" thickBot="1" x14ac:dyDescent="0.3">
      <c r="A15" s="105" t="s">
        <v>484</v>
      </c>
      <c r="B15" s="105" t="s">
        <v>490</v>
      </c>
      <c r="C15" s="105" t="s">
        <v>495</v>
      </c>
      <c r="D15" s="119" t="s">
        <v>496</v>
      </c>
      <c r="E15" s="106">
        <v>44014</v>
      </c>
      <c r="F15" s="119" t="s">
        <v>488</v>
      </c>
      <c r="G15" s="107">
        <v>310</v>
      </c>
    </row>
    <row r="16" spans="1:7" ht="15.75" thickBot="1" x14ac:dyDescent="0.3">
      <c r="A16" s="109" t="s">
        <v>447</v>
      </c>
      <c r="B16" s="110"/>
      <c r="C16" s="110"/>
      <c r="D16" s="110"/>
      <c r="E16" s="110"/>
      <c r="F16" s="111"/>
      <c r="G16" s="112">
        <v>345</v>
      </c>
    </row>
    <row r="17" spans="1:7" ht="15.75" thickBot="1" x14ac:dyDescent="0.3"/>
    <row r="18" spans="1:7" ht="30.75" thickBot="1" x14ac:dyDescent="0.3">
      <c r="A18" s="103" t="s">
        <v>440</v>
      </c>
      <c r="B18" s="103" t="s">
        <v>441</v>
      </c>
      <c r="C18" s="103" t="s">
        <v>442</v>
      </c>
      <c r="D18" s="103" t="s">
        <v>443</v>
      </c>
      <c r="E18" s="103" t="s">
        <v>444</v>
      </c>
      <c r="F18" s="103" t="s">
        <v>445</v>
      </c>
      <c r="G18" s="104" t="s">
        <v>446</v>
      </c>
    </row>
    <row r="19" spans="1:7" ht="30" x14ac:dyDescent="0.25">
      <c r="A19" s="105" t="s">
        <v>494</v>
      </c>
      <c r="B19" s="105" t="s">
        <v>491</v>
      </c>
      <c r="C19" s="105"/>
      <c r="D19" s="105"/>
      <c r="E19" s="106">
        <v>44021</v>
      </c>
      <c r="F19" s="3" t="s">
        <v>156</v>
      </c>
      <c r="G19" s="107">
        <v>200</v>
      </c>
    </row>
    <row r="20" spans="1:7" ht="30" x14ac:dyDescent="0.25">
      <c r="A20" s="105" t="s">
        <v>494</v>
      </c>
      <c r="B20" s="105" t="s">
        <v>492</v>
      </c>
      <c r="C20" s="105"/>
      <c r="D20" s="3"/>
      <c r="E20" s="106">
        <v>44018</v>
      </c>
      <c r="F20" s="3" t="s">
        <v>177</v>
      </c>
      <c r="G20" s="107">
        <v>190</v>
      </c>
    </row>
    <row r="21" spans="1:7" ht="30.75" thickBot="1" x14ac:dyDescent="0.3">
      <c r="A21" s="105" t="s">
        <v>494</v>
      </c>
      <c r="B21" s="105" t="s">
        <v>493</v>
      </c>
      <c r="C21" s="3"/>
      <c r="D21" s="108"/>
      <c r="E21" s="106">
        <v>44012</v>
      </c>
      <c r="F21" s="108" t="s">
        <v>156</v>
      </c>
      <c r="G21" s="107">
        <v>200</v>
      </c>
    </row>
    <row r="22" spans="1:7" ht="15.75" thickBot="1" x14ac:dyDescent="0.3">
      <c r="A22" s="109" t="s">
        <v>447</v>
      </c>
      <c r="B22" s="110"/>
      <c r="C22" s="110"/>
      <c r="D22" s="110"/>
      <c r="E22" s="110"/>
      <c r="F22" s="111"/>
      <c r="G22" s="112">
        <v>190</v>
      </c>
    </row>
  </sheetData>
  <hyperlinks>
    <hyperlink ref="B8" r:id="rId1"/>
  </hyperlinks>
  <pageMargins left="0.511811024" right="0.511811024" top="0.78740157499999996" bottom="0.78740157499999996" header="0.31496062000000002" footer="0.31496062000000002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tabSelected="1" zoomScale="70" zoomScaleNormal="70" workbookViewId="0">
      <pane xSplit="3" ySplit="5" topLeftCell="D6" activePane="bottomRight" state="frozen"/>
      <selection pane="topRight" activeCell="E1" sqref="E1"/>
      <selection pane="bottomLeft" activeCell="A3" sqref="A3"/>
      <selection pane="bottomRight" activeCell="Z42" sqref="A1:Z42"/>
    </sheetView>
  </sheetViews>
  <sheetFormatPr defaultRowHeight="15" outlineLevelRow="1" x14ac:dyDescent="0.25"/>
  <cols>
    <col min="1" max="1" width="6.7109375" style="3" bestFit="1" customWidth="1"/>
    <col min="2" max="2" width="17.28515625" style="138" customWidth="1"/>
    <col min="3" max="3" width="69.28515625" style="3" customWidth="1"/>
    <col min="4" max="4" width="11.140625" style="3" bestFit="1" customWidth="1"/>
    <col min="5" max="5" width="16" style="3" bestFit="1" customWidth="1"/>
    <col min="6" max="7" width="16" style="3" hidden="1" customWidth="1"/>
    <col min="8" max="8" width="13.42578125" style="3" hidden="1" customWidth="1"/>
    <col min="9" max="9" width="15.7109375" style="3" hidden="1" customWidth="1"/>
    <col min="10" max="10" width="0" style="3" hidden="1" customWidth="1"/>
    <col min="11" max="11" width="13.5703125" style="3" hidden="1" customWidth="1"/>
    <col min="12" max="12" width="13.85546875" style="3" hidden="1" customWidth="1"/>
    <col min="13" max="13" width="15.85546875" style="3" customWidth="1"/>
    <col min="14" max="14" width="2.7109375" style="3" customWidth="1"/>
    <col min="15" max="15" width="7.140625" style="3" hidden="1" customWidth="1"/>
    <col min="16" max="16" width="18.140625" style="3" hidden="1" customWidth="1"/>
    <col min="17" max="17" width="2.7109375" style="3" hidden="1" customWidth="1"/>
    <col min="18" max="18" width="12.28515625" style="3" customWidth="1"/>
    <col min="19" max="19" width="9.140625" style="3"/>
    <col min="20" max="20" width="13.85546875" style="3" bestFit="1" customWidth="1"/>
    <col min="21" max="21" width="9.140625" style="3"/>
    <col min="22" max="22" width="14.42578125" style="3" bestFit="1" customWidth="1"/>
    <col min="23" max="23" width="9.140625" style="3"/>
    <col min="24" max="24" width="15.140625" style="3" customWidth="1"/>
    <col min="25" max="25" width="9.140625" style="3"/>
    <col min="26" max="26" width="14.42578125" style="3" bestFit="1" customWidth="1"/>
    <col min="27" max="27" width="3.42578125" style="3" customWidth="1"/>
    <col min="28" max="28" width="9.140625" style="3"/>
    <col min="29" max="29" width="13.85546875" style="3" bestFit="1" customWidth="1"/>
    <col min="30" max="30" width="11.7109375" style="3" bestFit="1" customWidth="1"/>
    <col min="31" max="16384" width="9.140625" style="3"/>
  </cols>
  <sheetData>
    <row r="1" spans="1:30" ht="15.75" thickBot="1" x14ac:dyDescent="0.3"/>
    <row r="2" spans="1:30" ht="15.75" thickBot="1" x14ac:dyDescent="0.3">
      <c r="S2" s="134" t="s">
        <v>497</v>
      </c>
      <c r="T2" s="133"/>
      <c r="U2" s="131"/>
      <c r="V2" s="131"/>
      <c r="W2" s="131"/>
      <c r="X2" s="131"/>
      <c r="Y2" s="131"/>
      <c r="Z2" s="132"/>
    </row>
    <row r="4" spans="1:30" ht="15.75" thickBot="1" x14ac:dyDescent="0.3">
      <c r="S4" s="166" t="s">
        <v>395</v>
      </c>
      <c r="T4" s="167"/>
      <c r="U4" s="166" t="s">
        <v>396</v>
      </c>
      <c r="V4" s="167"/>
      <c r="W4" s="166" t="s">
        <v>397</v>
      </c>
      <c r="X4" s="167"/>
      <c r="Y4" s="166" t="s">
        <v>398</v>
      </c>
      <c r="Z4" s="167"/>
      <c r="AB4" s="24" t="s">
        <v>399</v>
      </c>
      <c r="AC4" s="25"/>
    </row>
    <row r="5" spans="1:30" ht="75.75" thickBot="1" x14ac:dyDescent="0.3">
      <c r="A5" s="1" t="s">
        <v>1</v>
      </c>
      <c r="B5" s="98" t="s">
        <v>2</v>
      </c>
      <c r="C5" s="100" t="s">
        <v>417</v>
      </c>
      <c r="D5" s="99" t="s">
        <v>4</v>
      </c>
      <c r="E5" s="2" t="s">
        <v>5</v>
      </c>
      <c r="F5" s="10" t="s">
        <v>247</v>
      </c>
      <c r="G5" s="10" t="s">
        <v>224</v>
      </c>
      <c r="H5" s="10" t="s">
        <v>226</v>
      </c>
      <c r="I5" s="10" t="s">
        <v>223</v>
      </c>
      <c r="J5" s="10" t="s">
        <v>225</v>
      </c>
      <c r="K5" s="10" t="s">
        <v>227</v>
      </c>
      <c r="L5" s="10" t="s">
        <v>228</v>
      </c>
      <c r="M5" s="10" t="s">
        <v>229</v>
      </c>
      <c r="P5" s="30" t="s">
        <v>403</v>
      </c>
      <c r="S5" s="21" t="s">
        <v>393</v>
      </c>
      <c r="T5" s="21" t="s">
        <v>394</v>
      </c>
      <c r="U5" s="21" t="s">
        <v>393</v>
      </c>
      <c r="V5" s="21" t="s">
        <v>394</v>
      </c>
      <c r="W5" s="21" t="s">
        <v>393</v>
      </c>
      <c r="X5" s="21" t="s">
        <v>394</v>
      </c>
      <c r="Y5" s="21" t="s">
        <v>393</v>
      </c>
      <c r="Z5" s="21" t="s">
        <v>394</v>
      </c>
      <c r="AB5" s="26" t="s">
        <v>393</v>
      </c>
      <c r="AC5" s="26" t="s">
        <v>394</v>
      </c>
    </row>
    <row r="7" spans="1:30" x14ac:dyDescent="0.25">
      <c r="A7" s="5" t="s">
        <v>419</v>
      </c>
      <c r="B7" s="5"/>
      <c r="C7" s="4" t="s">
        <v>420</v>
      </c>
      <c r="D7" s="5"/>
      <c r="E7" s="6"/>
      <c r="F7" s="6"/>
      <c r="G7" s="6"/>
      <c r="H7" s="7"/>
      <c r="I7" s="7"/>
      <c r="J7" s="7"/>
      <c r="K7" s="7"/>
      <c r="L7" s="7"/>
      <c r="M7" s="7">
        <f>SUM(M8:M12)</f>
        <v>29258.620000000003</v>
      </c>
      <c r="O7" s="20"/>
      <c r="P7" s="20"/>
      <c r="S7" s="32">
        <f>T7/$M$40</f>
        <v>1.0187690175888598E-2</v>
      </c>
      <c r="T7" s="7">
        <f>SUM(T8:T12)</f>
        <v>4927.42</v>
      </c>
      <c r="U7" s="32">
        <f>V7/$M$40</f>
        <v>1.6766966992174944E-2</v>
      </c>
      <c r="V7" s="7">
        <f>SUM(V8:V12)</f>
        <v>8109.58</v>
      </c>
      <c r="W7" s="32">
        <f>X7/$M$40</f>
        <v>1.6766966992174944E-2</v>
      </c>
      <c r="X7" s="7">
        <f>SUM(X8:X12)</f>
        <v>8109.58</v>
      </c>
      <c r="Y7" s="32">
        <f>Z7/$M$40</f>
        <v>1.6772053166650164E-2</v>
      </c>
      <c r="Z7" s="7">
        <f>SUM(Z8:Z12)</f>
        <v>8112.0400000000009</v>
      </c>
      <c r="AB7" s="27">
        <f t="shared" ref="AB7:AC12" si="0">SUM(S7,U7,W7,Y7)</f>
        <v>6.0493677326888651E-2</v>
      </c>
      <c r="AC7" s="11">
        <f t="shared" si="0"/>
        <v>29258.620000000003</v>
      </c>
      <c r="AD7" s="3" t="str">
        <f t="shared" ref="AD7:AD12" si="1">IF(AC7=M7,"OK","VERIFICAR")</f>
        <v>OK</v>
      </c>
    </row>
    <row r="8" spans="1:30" outlineLevel="1" x14ac:dyDescent="0.25">
      <c r="A8" s="8" t="s">
        <v>7</v>
      </c>
      <c r="B8" s="8" t="s">
        <v>421</v>
      </c>
      <c r="C8" s="9" t="s">
        <v>422</v>
      </c>
      <c r="D8" s="51" t="s">
        <v>9</v>
      </c>
      <c r="E8" s="52">
        <v>2</v>
      </c>
      <c r="F8" s="53">
        <v>233.94</v>
      </c>
      <c r="G8" s="53">
        <v>0</v>
      </c>
      <c r="H8" s="53">
        <f>F8+G8</f>
        <v>233.94</v>
      </c>
      <c r="I8" s="53">
        <f t="shared" ref="I8:I12" si="2">TRUNC(H8*E8,2)</f>
        <v>467.88</v>
      </c>
      <c r="J8" s="58">
        <v>0.21129999999999999</v>
      </c>
      <c r="K8" s="53">
        <f>TRUNC($E8*F8*(1+$J8),2)</f>
        <v>566.74</v>
      </c>
      <c r="L8" s="53">
        <f>TRUNC($E8*G8*(1+$J8),2)</f>
        <v>0</v>
      </c>
      <c r="M8" s="53">
        <f>L8+K8</f>
        <v>566.74</v>
      </c>
      <c r="O8" s="20"/>
      <c r="S8" s="162">
        <v>1</v>
      </c>
      <c r="T8" s="161">
        <f>TRUNC(S8*$M8,2)</f>
        <v>566.74</v>
      </c>
      <c r="U8" s="123"/>
      <c r="V8" s="123"/>
      <c r="W8" s="123"/>
      <c r="X8" s="123"/>
      <c r="Y8" s="123"/>
      <c r="Z8" s="123"/>
      <c r="AB8" s="27">
        <f t="shared" si="0"/>
        <v>1</v>
      </c>
      <c r="AC8" s="11">
        <f t="shared" si="0"/>
        <v>566.74</v>
      </c>
      <c r="AD8" s="3" t="str">
        <f t="shared" si="1"/>
        <v>OK</v>
      </c>
    </row>
    <row r="9" spans="1:30" outlineLevel="1" x14ac:dyDescent="0.25">
      <c r="A9" s="8" t="s">
        <v>10</v>
      </c>
      <c r="B9" s="8" t="s">
        <v>498</v>
      </c>
      <c r="C9" s="9" t="s">
        <v>423</v>
      </c>
      <c r="D9" s="51" t="s">
        <v>424</v>
      </c>
      <c r="E9" s="52">
        <v>3</v>
      </c>
      <c r="F9" s="53">
        <v>272.70999999999998</v>
      </c>
      <c r="G9" s="53">
        <v>2926.11</v>
      </c>
      <c r="H9" s="53">
        <f t="shared" ref="H9:H12" si="3">F9+G9</f>
        <v>3198.82</v>
      </c>
      <c r="I9" s="53">
        <f t="shared" si="2"/>
        <v>9596.4599999999991</v>
      </c>
      <c r="J9" s="58">
        <v>0.21129999999999999</v>
      </c>
      <c r="K9" s="53">
        <f t="shared" ref="K9:L12" si="4">TRUNC($E9*F9*(1+$J9),2)</f>
        <v>991</v>
      </c>
      <c r="L9" s="53">
        <f t="shared" si="4"/>
        <v>10633.19</v>
      </c>
      <c r="M9" s="53">
        <f t="shared" ref="M9:M12" si="5">L9+K9</f>
        <v>11624.19</v>
      </c>
      <c r="O9" s="20"/>
      <c r="P9" s="20"/>
      <c r="S9" s="125"/>
      <c r="T9" s="126"/>
      <c r="U9" s="162">
        <v>0.33329999999999999</v>
      </c>
      <c r="V9" s="161">
        <f>TRUNC(U9*$M9,2)</f>
        <v>3874.34</v>
      </c>
      <c r="W9" s="162">
        <v>0.33329999999999999</v>
      </c>
      <c r="X9" s="161">
        <f>TRUNC(W9*$M9,2)</f>
        <v>3874.34</v>
      </c>
      <c r="Y9" s="162">
        <v>0.33339999999999997</v>
      </c>
      <c r="Z9" s="161">
        <f>TRUNC(Y9*$M9,2)+0.01</f>
        <v>3875.51</v>
      </c>
      <c r="AB9" s="27">
        <f t="shared" si="0"/>
        <v>1</v>
      </c>
      <c r="AC9" s="11">
        <f t="shared" si="0"/>
        <v>11624.19</v>
      </c>
      <c r="AD9" s="3" t="str">
        <f t="shared" si="1"/>
        <v>OK</v>
      </c>
    </row>
    <row r="10" spans="1:30" ht="30" outlineLevel="1" x14ac:dyDescent="0.25">
      <c r="A10" s="8" t="s">
        <v>11</v>
      </c>
      <c r="B10" s="68" t="s">
        <v>513</v>
      </c>
      <c r="C10" s="9" t="s">
        <v>425</v>
      </c>
      <c r="D10" s="51" t="s">
        <v>9</v>
      </c>
      <c r="E10" s="52">
        <v>1</v>
      </c>
      <c r="F10" s="53">
        <v>0</v>
      </c>
      <c r="G10" s="53">
        <v>1800</v>
      </c>
      <c r="H10" s="53">
        <f t="shared" si="3"/>
        <v>1800</v>
      </c>
      <c r="I10" s="53">
        <f t="shared" si="2"/>
        <v>1800</v>
      </c>
      <c r="J10" s="58">
        <v>0.21129999999999999</v>
      </c>
      <c r="K10" s="53">
        <f t="shared" si="4"/>
        <v>0</v>
      </c>
      <c r="L10" s="53">
        <f t="shared" si="4"/>
        <v>2180.34</v>
      </c>
      <c r="M10" s="53">
        <f t="shared" si="5"/>
        <v>2180.34</v>
      </c>
      <c r="P10" s="20"/>
      <c r="S10" s="162">
        <v>1</v>
      </c>
      <c r="T10" s="161">
        <f t="shared" ref="T10:T11" si="6">TRUNC(S10*$M10,2)</f>
        <v>2180.34</v>
      </c>
      <c r="U10" s="123"/>
      <c r="V10" s="123"/>
      <c r="W10" s="123"/>
      <c r="X10" s="123"/>
      <c r="Y10" s="123"/>
      <c r="Z10" s="123"/>
      <c r="AB10" s="27">
        <f t="shared" si="0"/>
        <v>1</v>
      </c>
      <c r="AC10" s="11">
        <f t="shared" si="0"/>
        <v>2180.34</v>
      </c>
      <c r="AD10" s="3" t="str">
        <f t="shared" si="1"/>
        <v>OK</v>
      </c>
    </row>
    <row r="11" spans="1:30" ht="30" outlineLevel="1" x14ac:dyDescent="0.25">
      <c r="A11" s="8" t="s">
        <v>13</v>
      </c>
      <c r="B11" s="68" t="s">
        <v>514</v>
      </c>
      <c r="C11" s="9" t="s">
        <v>426</v>
      </c>
      <c r="D11" s="51" t="s">
        <v>9</v>
      </c>
      <c r="E11" s="52">
        <v>1</v>
      </c>
      <c r="F11" s="53">
        <v>0</v>
      </c>
      <c r="G11" s="53">
        <v>1800</v>
      </c>
      <c r="H11" s="53">
        <f t="shared" si="3"/>
        <v>1800</v>
      </c>
      <c r="I11" s="53">
        <f t="shared" si="2"/>
        <v>1800</v>
      </c>
      <c r="J11" s="58">
        <v>0.21129999999999999</v>
      </c>
      <c r="K11" s="53">
        <f t="shared" si="4"/>
        <v>0</v>
      </c>
      <c r="L11" s="53">
        <f t="shared" si="4"/>
        <v>2180.34</v>
      </c>
      <c r="M11" s="53">
        <f t="shared" si="5"/>
        <v>2180.34</v>
      </c>
      <c r="S11" s="162">
        <v>1</v>
      </c>
      <c r="T11" s="161">
        <f t="shared" si="6"/>
        <v>2180.34</v>
      </c>
      <c r="U11" s="123"/>
      <c r="V11" s="123"/>
      <c r="W11" s="123"/>
      <c r="X11" s="123"/>
      <c r="Y11" s="123"/>
      <c r="Z11" s="123"/>
      <c r="AB11" s="27">
        <f t="shared" si="0"/>
        <v>1</v>
      </c>
      <c r="AC11" s="11">
        <f t="shared" si="0"/>
        <v>2180.34</v>
      </c>
      <c r="AD11" s="3" t="str">
        <f t="shared" si="1"/>
        <v>OK</v>
      </c>
    </row>
    <row r="12" spans="1:30" ht="30" outlineLevel="1" x14ac:dyDescent="0.25">
      <c r="A12" s="8" t="s">
        <v>15</v>
      </c>
      <c r="B12" s="8" t="s">
        <v>500</v>
      </c>
      <c r="C12" s="9" t="s">
        <v>472</v>
      </c>
      <c r="D12" s="51" t="s">
        <v>378</v>
      </c>
      <c r="E12" s="59">
        <f>2*5*4*3</f>
        <v>120</v>
      </c>
      <c r="F12" s="53">
        <v>1</v>
      </c>
      <c r="G12" s="53">
        <v>86.42</v>
      </c>
      <c r="H12" s="53">
        <f t="shared" si="3"/>
        <v>87.42</v>
      </c>
      <c r="I12" s="53">
        <f t="shared" si="2"/>
        <v>10490.4</v>
      </c>
      <c r="J12" s="58">
        <v>0.21129999999999999</v>
      </c>
      <c r="K12" s="53">
        <f t="shared" si="4"/>
        <v>145.35</v>
      </c>
      <c r="L12" s="53">
        <f t="shared" si="4"/>
        <v>12561.66</v>
      </c>
      <c r="M12" s="53">
        <f t="shared" si="5"/>
        <v>12707.01</v>
      </c>
      <c r="S12" s="125"/>
      <c r="T12" s="126"/>
      <c r="U12" s="162">
        <v>0.33329999999999999</v>
      </c>
      <c r="V12" s="161">
        <f>TRUNC(U12*$M12,2)</f>
        <v>4235.24</v>
      </c>
      <c r="W12" s="162">
        <v>0.33329999999999999</v>
      </c>
      <c r="X12" s="161">
        <f>TRUNC(W12*$M12,2)</f>
        <v>4235.24</v>
      </c>
      <c r="Y12" s="162">
        <v>0.33339999999999997</v>
      </c>
      <c r="Z12" s="161">
        <f>TRUNC(Y12*$M12,2)+0.02</f>
        <v>4236.5300000000007</v>
      </c>
      <c r="AB12" s="27">
        <f t="shared" si="0"/>
        <v>1</v>
      </c>
      <c r="AC12" s="11">
        <f t="shared" si="0"/>
        <v>12707.01</v>
      </c>
      <c r="AD12" s="3" t="str">
        <f t="shared" si="1"/>
        <v>OK</v>
      </c>
    </row>
    <row r="13" spans="1:30" x14ac:dyDescent="0.25">
      <c r="C13" s="17"/>
      <c r="S13" s="123"/>
      <c r="T13" s="123"/>
      <c r="U13" s="123"/>
      <c r="V13" s="123"/>
      <c r="W13" s="123"/>
      <c r="X13" s="123"/>
      <c r="Y13" s="123"/>
      <c r="Z13" s="123"/>
    </row>
    <row r="14" spans="1:30" x14ac:dyDescent="0.25">
      <c r="A14" s="5" t="s">
        <v>427</v>
      </c>
      <c r="B14" s="5"/>
      <c r="C14" s="18" t="s">
        <v>551</v>
      </c>
      <c r="D14" s="5"/>
      <c r="E14" s="6"/>
      <c r="F14" s="6"/>
      <c r="G14" s="6"/>
      <c r="H14" s="7"/>
      <c r="I14" s="7"/>
      <c r="J14" s="7"/>
      <c r="K14" s="7"/>
      <c r="L14" s="7"/>
      <c r="M14" s="7">
        <f>SUM(M15:M23)</f>
        <v>11444.53</v>
      </c>
      <c r="O14" s="20"/>
      <c r="P14" s="20"/>
      <c r="S14" s="32">
        <f>T14/$M$40</f>
        <v>8.2827731063769266E-3</v>
      </c>
      <c r="T14" s="7">
        <f>SUM(T15:T23)</f>
        <v>4006.08</v>
      </c>
      <c r="U14" s="32">
        <f>V14/$M$40</f>
        <v>7.4144225300161841E-3</v>
      </c>
      <c r="V14" s="7">
        <f>SUM(V15:V23)</f>
        <v>3586.09</v>
      </c>
      <c r="W14" s="32">
        <f>X14/$M$40</f>
        <v>5.5572865548631804E-3</v>
      </c>
      <c r="X14" s="7">
        <f>SUM(X15:X23)</f>
        <v>2687.86</v>
      </c>
      <c r="Y14" s="32">
        <f>Z14/$M$40</f>
        <v>2.4076626733305203E-3</v>
      </c>
      <c r="Z14" s="7">
        <f>SUM(Z15:Z23)</f>
        <v>1164.5</v>
      </c>
      <c r="AB14" s="27">
        <f t="shared" ref="AB14:AC23" si="7">SUM(S14,U14,W14,Y14)</f>
        <v>2.3662144864586811E-2</v>
      </c>
      <c r="AC14" s="11">
        <f t="shared" si="7"/>
        <v>11444.53</v>
      </c>
      <c r="AD14" s="3" t="str">
        <f t="shared" ref="AD14" si="8">IF(AC14=M14,"OK","VERIFICAR")</f>
        <v>OK</v>
      </c>
    </row>
    <row r="15" spans="1:30" x14ac:dyDescent="0.25">
      <c r="A15" s="8" t="s">
        <v>37</v>
      </c>
      <c r="B15" s="8"/>
      <c r="C15" s="9" t="s">
        <v>429</v>
      </c>
      <c r="D15" s="59" t="s">
        <v>149</v>
      </c>
      <c r="E15" s="59">
        <v>2</v>
      </c>
      <c r="F15" s="53">
        <v>158.06</v>
      </c>
      <c r="G15" s="53">
        <v>217.52</v>
      </c>
      <c r="H15" s="53">
        <f>G15+F15</f>
        <v>375.58000000000004</v>
      </c>
      <c r="I15" s="53">
        <f>H15*E15</f>
        <v>751.16000000000008</v>
      </c>
      <c r="J15" s="58">
        <v>0.21129999999999999</v>
      </c>
      <c r="K15" s="53">
        <f t="shared" ref="K15:L22" si="9">TRUNC($E15*F15*(1+$J15),2)</f>
        <v>382.91</v>
      </c>
      <c r="L15" s="53">
        <f t="shared" si="9"/>
        <v>526.96</v>
      </c>
      <c r="M15" s="53">
        <f t="shared" ref="M15:M22" si="10">L15+K15</f>
        <v>909.87000000000012</v>
      </c>
      <c r="O15" s="20"/>
      <c r="P15" s="11"/>
      <c r="S15" s="162">
        <v>0.5</v>
      </c>
      <c r="T15" s="161">
        <f t="shared" ref="T15:T16" si="11">TRUNC(S15*$M15,2)</f>
        <v>454.93</v>
      </c>
      <c r="U15" s="128"/>
      <c r="V15" s="129"/>
      <c r="W15" s="128"/>
      <c r="X15" s="129"/>
      <c r="Y15" s="162">
        <v>0.5</v>
      </c>
      <c r="Z15" s="161">
        <f>TRUNC(Y15*$M15,2)+0.01</f>
        <v>454.94</v>
      </c>
      <c r="AB15" s="27">
        <f t="shared" si="7"/>
        <v>1</v>
      </c>
      <c r="AC15" s="11">
        <f t="shared" si="7"/>
        <v>909.87</v>
      </c>
    </row>
    <row r="16" spans="1:30" x14ac:dyDescent="0.25">
      <c r="A16" s="8" t="s">
        <v>39</v>
      </c>
      <c r="B16" s="8" t="s">
        <v>317</v>
      </c>
      <c r="C16" s="9" t="s">
        <v>509</v>
      </c>
      <c r="D16" s="59" t="s">
        <v>430</v>
      </c>
      <c r="E16" s="59">
        <f>17.54*2</f>
        <v>35.08</v>
      </c>
      <c r="F16" s="53">
        <f>53.47+0.01</f>
        <v>53.48</v>
      </c>
      <c r="G16" s="53">
        <v>10.85</v>
      </c>
      <c r="H16" s="53">
        <f t="shared" ref="H16" si="12">F16+G16</f>
        <v>64.33</v>
      </c>
      <c r="I16" s="53">
        <f t="shared" ref="I16" si="13">TRUNC(H16*E16,2)</f>
        <v>2256.69</v>
      </c>
      <c r="J16" s="58">
        <v>0.21129999999999999</v>
      </c>
      <c r="K16" s="53">
        <f t="shared" si="9"/>
        <v>2272.4899999999998</v>
      </c>
      <c r="L16" s="53">
        <f t="shared" si="9"/>
        <v>461.04</v>
      </c>
      <c r="M16" s="53">
        <f t="shared" si="10"/>
        <v>2733.5299999999997</v>
      </c>
      <c r="O16" s="20"/>
      <c r="P16" s="11"/>
      <c r="S16" s="162">
        <v>1</v>
      </c>
      <c r="T16" s="161">
        <f t="shared" si="11"/>
        <v>2733.53</v>
      </c>
      <c r="U16" s="128"/>
      <c r="V16" s="129"/>
      <c r="W16" s="128"/>
      <c r="X16" s="129"/>
      <c r="Y16" s="128"/>
      <c r="Z16" s="129"/>
      <c r="AB16" s="27">
        <f t="shared" si="7"/>
        <v>1</v>
      </c>
      <c r="AC16" s="11">
        <f t="shared" si="7"/>
        <v>2733.53</v>
      </c>
    </row>
    <row r="17" spans="1:30" ht="30" x14ac:dyDescent="0.25">
      <c r="A17" s="8" t="s">
        <v>41</v>
      </c>
      <c r="B17" s="8" t="s">
        <v>511</v>
      </c>
      <c r="C17" s="9" t="s">
        <v>510</v>
      </c>
      <c r="D17" s="59" t="s">
        <v>430</v>
      </c>
      <c r="E17" s="59">
        <f>17.54*2+(7+7)*2</f>
        <v>63.08</v>
      </c>
      <c r="F17" s="53">
        <v>0.51</v>
      </c>
      <c r="G17" s="53">
        <v>1.5</v>
      </c>
      <c r="H17" s="53">
        <f>F17+G17</f>
        <v>2.0099999999999998</v>
      </c>
      <c r="I17" s="53">
        <f>H17*E17</f>
        <v>126.79079999999999</v>
      </c>
      <c r="J17" s="58">
        <v>0.21129999999999999</v>
      </c>
      <c r="K17" s="53">
        <f t="shared" si="9"/>
        <v>38.96</v>
      </c>
      <c r="L17" s="53">
        <f t="shared" si="9"/>
        <v>114.61</v>
      </c>
      <c r="M17" s="53">
        <f t="shared" si="10"/>
        <v>153.57</v>
      </c>
      <c r="O17" s="20"/>
      <c r="P17" s="11"/>
      <c r="S17" s="128"/>
      <c r="T17" s="129"/>
      <c r="U17" s="128"/>
      <c r="V17" s="129"/>
      <c r="W17" s="128"/>
      <c r="X17" s="129"/>
      <c r="Y17" s="162">
        <v>1</v>
      </c>
      <c r="Z17" s="161">
        <f t="shared" ref="Z17" si="14">TRUNC(Y17*$M17,2)</f>
        <v>153.57</v>
      </c>
      <c r="AB17" s="27">
        <f t="shared" si="7"/>
        <v>1</v>
      </c>
      <c r="AC17" s="11">
        <f t="shared" si="7"/>
        <v>153.57</v>
      </c>
    </row>
    <row r="18" spans="1:30" ht="30" x14ac:dyDescent="0.25">
      <c r="A18" s="8" t="s">
        <v>43</v>
      </c>
      <c r="B18" s="8" t="s">
        <v>320</v>
      </c>
      <c r="C18" s="9" t="s">
        <v>213</v>
      </c>
      <c r="D18" s="59" t="s">
        <v>430</v>
      </c>
      <c r="E18" s="59">
        <f>44*0.5</f>
        <v>22</v>
      </c>
      <c r="F18" s="53">
        <v>2.96</v>
      </c>
      <c r="G18" s="53">
        <v>8.8699999999999992</v>
      </c>
      <c r="H18" s="53">
        <f t="shared" ref="H18:H23" si="15">F18+G18</f>
        <v>11.829999999999998</v>
      </c>
      <c r="I18" s="53">
        <f>H18*E18</f>
        <v>260.26</v>
      </c>
      <c r="J18" s="58">
        <v>0.21129999999999999</v>
      </c>
      <c r="K18" s="53">
        <f t="shared" si="9"/>
        <v>78.87</v>
      </c>
      <c r="L18" s="53">
        <f t="shared" si="9"/>
        <v>236.37</v>
      </c>
      <c r="M18" s="53">
        <f t="shared" si="10"/>
        <v>315.24</v>
      </c>
      <c r="O18" s="20"/>
      <c r="P18" s="11"/>
      <c r="S18" s="128"/>
      <c r="T18" s="129"/>
      <c r="U18" s="162">
        <v>1</v>
      </c>
      <c r="V18" s="161">
        <f t="shared" ref="V18:X22" si="16">TRUNC(U18*$M18,2)</f>
        <v>315.24</v>
      </c>
      <c r="W18" s="128"/>
      <c r="X18" s="129"/>
      <c r="Y18" s="128"/>
      <c r="Z18" s="122"/>
      <c r="AB18" s="27">
        <f t="shared" si="7"/>
        <v>1</v>
      </c>
      <c r="AC18" s="11">
        <f t="shared" si="7"/>
        <v>315.24</v>
      </c>
    </row>
    <row r="19" spans="1:30" ht="30" x14ac:dyDescent="0.25">
      <c r="A19" s="164" t="s">
        <v>45</v>
      </c>
      <c r="B19" s="8" t="s">
        <v>512</v>
      </c>
      <c r="C19" s="9" t="s">
        <v>438</v>
      </c>
      <c r="D19" s="59" t="s">
        <v>437</v>
      </c>
      <c r="E19" s="59">
        <f>0.5*0.5*0.5*33</f>
        <v>4.125</v>
      </c>
      <c r="F19" s="53">
        <f>11.19+63.56</f>
        <v>74.75</v>
      </c>
      <c r="G19" s="53">
        <v>153.19999999999999</v>
      </c>
      <c r="H19" s="53">
        <f t="shared" si="15"/>
        <v>227.95</v>
      </c>
      <c r="I19" s="53">
        <f t="shared" ref="I19:I22" si="17">H19*E19</f>
        <v>940.29374999999993</v>
      </c>
      <c r="J19" s="58">
        <v>0.21129999999999999</v>
      </c>
      <c r="K19" s="53">
        <f t="shared" si="9"/>
        <v>373.49</v>
      </c>
      <c r="L19" s="53">
        <f t="shared" si="9"/>
        <v>765.48</v>
      </c>
      <c r="M19" s="53">
        <f t="shared" si="10"/>
        <v>1138.97</v>
      </c>
      <c r="O19" s="20"/>
      <c r="P19" s="11"/>
      <c r="S19" s="128"/>
      <c r="T19" s="129"/>
      <c r="U19" s="162">
        <v>1</v>
      </c>
      <c r="V19" s="161">
        <f t="shared" si="16"/>
        <v>1138.97</v>
      </c>
      <c r="W19" s="128"/>
      <c r="X19" s="129"/>
      <c r="Y19" s="128"/>
      <c r="Z19" s="122"/>
      <c r="AB19" s="27">
        <f t="shared" si="7"/>
        <v>1</v>
      </c>
      <c r="AC19" s="11">
        <f t="shared" si="7"/>
        <v>1138.97</v>
      </c>
    </row>
    <row r="20" spans="1:30" ht="30" x14ac:dyDescent="0.25">
      <c r="A20" s="8" t="s">
        <v>47</v>
      </c>
      <c r="B20" s="68" t="s">
        <v>516</v>
      </c>
      <c r="C20" s="9" t="s">
        <v>515</v>
      </c>
      <c r="D20" s="92" t="s">
        <v>379</v>
      </c>
      <c r="E20" s="92">
        <v>16</v>
      </c>
      <c r="F20" s="53">
        <v>220</v>
      </c>
      <c r="G20" s="53">
        <v>0</v>
      </c>
      <c r="H20" s="53">
        <f t="shared" si="15"/>
        <v>220</v>
      </c>
      <c r="I20" s="53">
        <f t="shared" si="17"/>
        <v>3520</v>
      </c>
      <c r="J20" s="58">
        <v>0.21129999999999999</v>
      </c>
      <c r="K20" s="53">
        <f t="shared" si="9"/>
        <v>4263.7700000000004</v>
      </c>
      <c r="L20" s="53">
        <f t="shared" si="9"/>
        <v>0</v>
      </c>
      <c r="M20" s="53">
        <f t="shared" si="10"/>
        <v>4263.7700000000004</v>
      </c>
      <c r="O20" s="20"/>
      <c r="P20" s="11"/>
      <c r="S20" s="128"/>
      <c r="T20" s="129"/>
      <c r="U20" s="162">
        <v>0.5</v>
      </c>
      <c r="V20" s="161">
        <f t="shared" si="16"/>
        <v>2131.88</v>
      </c>
      <c r="W20" s="162">
        <v>0.5</v>
      </c>
      <c r="X20" s="161">
        <f>TRUNC(W20*$M20,2)+0.01</f>
        <v>2131.8900000000003</v>
      </c>
      <c r="Y20" s="128"/>
      <c r="Z20" s="122"/>
      <c r="AB20" s="27">
        <f t="shared" si="7"/>
        <v>1</v>
      </c>
      <c r="AC20" s="11">
        <f t="shared" si="7"/>
        <v>4263.7700000000004</v>
      </c>
    </row>
    <row r="21" spans="1:30" ht="30" x14ac:dyDescent="0.25">
      <c r="A21" s="8" t="s">
        <v>49</v>
      </c>
      <c r="B21" s="8" t="s">
        <v>331</v>
      </c>
      <c r="C21" s="9" t="s">
        <v>518</v>
      </c>
      <c r="D21" s="59" t="s">
        <v>519</v>
      </c>
      <c r="E21" s="59">
        <v>30</v>
      </c>
      <c r="F21" s="53">
        <v>15.75</v>
      </c>
      <c r="G21" s="53">
        <v>0</v>
      </c>
      <c r="H21" s="53">
        <f t="shared" si="15"/>
        <v>15.75</v>
      </c>
      <c r="I21" s="53">
        <f t="shared" si="17"/>
        <v>472.5</v>
      </c>
      <c r="J21" s="58">
        <v>0.21129999999999999</v>
      </c>
      <c r="K21" s="53">
        <f t="shared" si="9"/>
        <v>572.33000000000004</v>
      </c>
      <c r="L21" s="53">
        <f t="shared" si="9"/>
        <v>0</v>
      </c>
      <c r="M21" s="53">
        <f t="shared" si="10"/>
        <v>572.33000000000004</v>
      </c>
      <c r="O21" s="20"/>
      <c r="P21" s="11"/>
      <c r="S21" s="128"/>
      <c r="T21" s="129"/>
      <c r="U21" s="128"/>
      <c r="V21" s="129"/>
      <c r="W21" s="162">
        <v>0.5</v>
      </c>
      <c r="X21" s="161">
        <f t="shared" si="16"/>
        <v>286.16000000000003</v>
      </c>
      <c r="Y21" s="162">
        <v>0.5</v>
      </c>
      <c r="Z21" s="161">
        <f>TRUNC(Y21*$M21,2)+0.01</f>
        <v>286.17</v>
      </c>
      <c r="AB21" s="27">
        <f t="shared" si="7"/>
        <v>1</v>
      </c>
      <c r="AC21" s="11">
        <f t="shared" si="7"/>
        <v>572.33000000000004</v>
      </c>
    </row>
    <row r="22" spans="1:30" ht="30" x14ac:dyDescent="0.25">
      <c r="A22" s="8" t="s">
        <v>51</v>
      </c>
      <c r="B22" s="8" t="s">
        <v>521</v>
      </c>
      <c r="C22" s="9" t="s">
        <v>522</v>
      </c>
      <c r="D22" s="59" t="s">
        <v>84</v>
      </c>
      <c r="E22" s="59">
        <v>30</v>
      </c>
      <c r="F22" s="53">
        <v>3.63</v>
      </c>
      <c r="G22" s="53">
        <v>11.22</v>
      </c>
      <c r="H22" s="53">
        <f t="shared" si="15"/>
        <v>14.850000000000001</v>
      </c>
      <c r="I22" s="53">
        <f t="shared" si="17"/>
        <v>445.50000000000006</v>
      </c>
      <c r="J22" s="58">
        <v>0.21129999999999999</v>
      </c>
      <c r="K22" s="53">
        <f t="shared" si="9"/>
        <v>131.91</v>
      </c>
      <c r="L22" s="53">
        <f t="shared" si="9"/>
        <v>407.72</v>
      </c>
      <c r="M22" s="53">
        <f t="shared" si="10"/>
        <v>539.63</v>
      </c>
      <c r="O22" s="20"/>
      <c r="P22" s="11"/>
      <c r="S22" s="128"/>
      <c r="T22" s="129"/>
      <c r="U22" s="128"/>
      <c r="V22" s="129"/>
      <c r="W22" s="162">
        <v>0.5</v>
      </c>
      <c r="X22" s="161">
        <f t="shared" si="16"/>
        <v>269.81</v>
      </c>
      <c r="Y22" s="162">
        <v>0.5</v>
      </c>
      <c r="Z22" s="161">
        <f>TRUNC(Y22*$M22,2)+0.01</f>
        <v>269.82</v>
      </c>
      <c r="AB22" s="27">
        <f t="shared" si="7"/>
        <v>1</v>
      </c>
      <c r="AC22" s="11">
        <f t="shared" si="7"/>
        <v>539.63</v>
      </c>
    </row>
    <row r="23" spans="1:30" ht="30" outlineLevel="1" x14ac:dyDescent="0.25">
      <c r="A23" s="8" t="s">
        <v>520</v>
      </c>
      <c r="B23" s="8" t="s">
        <v>523</v>
      </c>
      <c r="C23" s="9" t="s">
        <v>524</v>
      </c>
      <c r="D23" s="59" t="s">
        <v>430</v>
      </c>
      <c r="E23" s="59">
        <f>2*1.125</f>
        <v>2.25</v>
      </c>
      <c r="F23" s="53">
        <v>300</v>
      </c>
      <c r="G23" s="53">
        <v>0</v>
      </c>
      <c r="H23" s="53">
        <f t="shared" si="15"/>
        <v>300</v>
      </c>
      <c r="I23" s="53">
        <f t="shared" ref="I23" si="18">TRUNC(H23*E23,2)</f>
        <v>675</v>
      </c>
      <c r="J23" s="58">
        <v>0.21129999999999999</v>
      </c>
      <c r="K23" s="53">
        <f>TRUNC($E23*F23*(1+$J23),2)</f>
        <v>817.62</v>
      </c>
      <c r="L23" s="53">
        <f>TRUNC($E23*G23*(1+$J23),2)</f>
        <v>0</v>
      </c>
      <c r="M23" s="53">
        <f>L23+K23</f>
        <v>817.62</v>
      </c>
      <c r="O23" s="20"/>
      <c r="P23" s="11"/>
      <c r="S23" s="162">
        <v>1</v>
      </c>
      <c r="T23" s="161">
        <f t="shared" ref="T23" si="19">TRUNC(S23*$M23,2)</f>
        <v>817.62</v>
      </c>
      <c r="U23" s="124"/>
      <c r="V23" s="124"/>
      <c r="W23" s="120"/>
      <c r="X23" s="121"/>
      <c r="Y23" s="124"/>
      <c r="Z23" s="124"/>
      <c r="AB23" s="27">
        <f t="shared" si="7"/>
        <v>1</v>
      </c>
      <c r="AC23" s="11">
        <f t="shared" si="7"/>
        <v>817.62</v>
      </c>
      <c r="AD23" s="3" t="str">
        <f>IF(AC23=M16,"OK","VERIFICAR")</f>
        <v>VERIFICAR</v>
      </c>
    </row>
    <row r="24" spans="1:30" x14ac:dyDescent="0.25">
      <c r="C24" s="17"/>
    </row>
    <row r="25" spans="1:30" x14ac:dyDescent="0.25">
      <c r="A25" s="5" t="s">
        <v>433</v>
      </c>
      <c r="B25" s="5"/>
      <c r="C25" s="18" t="s">
        <v>428</v>
      </c>
      <c r="D25" s="5"/>
      <c r="E25" s="6"/>
      <c r="F25" s="6"/>
      <c r="G25" s="6"/>
      <c r="H25" s="7"/>
      <c r="I25" s="7"/>
      <c r="J25" s="7"/>
      <c r="K25" s="7"/>
      <c r="L25" s="7"/>
      <c r="M25" s="7">
        <f>SUM(M26:M38)</f>
        <v>442960.9499999999</v>
      </c>
      <c r="O25" s="20"/>
      <c r="P25" s="20"/>
      <c r="S25" s="32">
        <f>T25/$M$40</f>
        <v>0</v>
      </c>
      <c r="T25" s="7">
        <f>SUM(T26:T38)</f>
        <v>0</v>
      </c>
      <c r="U25" s="32">
        <f>V25/$M$40</f>
        <v>0.32278953513399078</v>
      </c>
      <c r="V25" s="7">
        <f>SUM(V26:V38)</f>
        <v>156121.71</v>
      </c>
      <c r="W25" s="32">
        <f>X25/$M$40</f>
        <v>0.38046882123357928</v>
      </c>
      <c r="X25" s="7">
        <f>SUM(X26:X38)</f>
        <v>184019.11</v>
      </c>
      <c r="Y25" s="32">
        <f>Z25/$M$40</f>
        <v>0.21258582144095459</v>
      </c>
      <c r="Z25" s="7">
        <f>SUM(Z26:Z38)</f>
        <v>102820.12999999999</v>
      </c>
      <c r="AB25" s="27">
        <f t="shared" ref="AB25:AC38" si="20">SUM(S25,U25,W25,Y25)</f>
        <v>0.91584417780852467</v>
      </c>
      <c r="AC25" s="11">
        <f t="shared" si="20"/>
        <v>442960.94999999995</v>
      </c>
      <c r="AD25" s="3" t="str">
        <f t="shared" ref="AD25:AD40" si="21">IF(AC25=M25,"OK","VERIFICAR")</f>
        <v>OK</v>
      </c>
    </row>
    <row r="26" spans="1:30" ht="30" outlineLevel="1" x14ac:dyDescent="0.25">
      <c r="A26" s="8" t="s">
        <v>54</v>
      </c>
      <c r="B26" s="8" t="s">
        <v>525</v>
      </c>
      <c r="C26" s="9" t="s">
        <v>526</v>
      </c>
      <c r="D26" s="59" t="s">
        <v>527</v>
      </c>
      <c r="E26" s="59">
        <f>6*44</f>
        <v>264</v>
      </c>
      <c r="F26" s="53">
        <f>5.89+13.59</f>
        <v>19.48</v>
      </c>
      <c r="G26" s="53">
        <v>3.32</v>
      </c>
      <c r="H26" s="53">
        <f t="shared" ref="H26:H38" si="22">F26+G26</f>
        <v>22.8</v>
      </c>
      <c r="I26" s="53">
        <f t="shared" ref="I26:I38" si="23">TRUNC(H26*E26,2)</f>
        <v>6019.2</v>
      </c>
      <c r="J26" s="58">
        <v>0.21129999999999999</v>
      </c>
      <c r="K26" s="53">
        <f t="shared" ref="K26:L38" si="24">TRUNC($E26*F26*(1+$J26),2)</f>
        <v>6229.37</v>
      </c>
      <c r="L26" s="53">
        <f t="shared" si="24"/>
        <v>1061.68</v>
      </c>
      <c r="M26" s="53">
        <f t="shared" ref="M26:M38" si="25">L26+K26</f>
        <v>7291.05</v>
      </c>
      <c r="O26" s="169">
        <f t="shared" ref="O26:O27" si="26">P26/$M$40</f>
        <v>1.5074614799816652E-2</v>
      </c>
      <c r="P26" s="170">
        <f>M26</f>
        <v>7291.05</v>
      </c>
      <c r="S26" s="124"/>
      <c r="T26" s="124"/>
      <c r="U26" s="124"/>
      <c r="V26" s="124"/>
      <c r="W26" s="162">
        <v>1</v>
      </c>
      <c r="X26" s="161">
        <f t="shared" ref="X26" si="27">TRUNC(W26*$M26,2)</f>
        <v>7291.05</v>
      </c>
      <c r="Y26" s="124"/>
      <c r="Z26" s="124"/>
      <c r="AB26" s="27">
        <f t="shared" si="20"/>
        <v>1</v>
      </c>
      <c r="AC26" s="11">
        <f t="shared" si="20"/>
        <v>7291.05</v>
      </c>
      <c r="AD26" s="3" t="str">
        <f t="shared" si="21"/>
        <v>OK</v>
      </c>
    </row>
    <row r="27" spans="1:30" ht="58.5" outlineLevel="1" x14ac:dyDescent="0.25">
      <c r="A27" s="8" t="s">
        <v>56</v>
      </c>
      <c r="B27" s="68" t="s">
        <v>528</v>
      </c>
      <c r="C27" s="9" t="s">
        <v>418</v>
      </c>
      <c r="D27" s="59" t="s">
        <v>207</v>
      </c>
      <c r="E27" s="59">
        <v>1</v>
      </c>
      <c r="F27" s="53">
        <v>229847.5</v>
      </c>
      <c r="G27" s="53">
        <v>0</v>
      </c>
      <c r="H27" s="53">
        <f t="shared" si="22"/>
        <v>229847.5</v>
      </c>
      <c r="I27" s="53">
        <f t="shared" si="23"/>
        <v>229847.5</v>
      </c>
      <c r="J27" s="168">
        <v>0.14630000000000001</v>
      </c>
      <c r="K27" s="53">
        <f t="shared" si="24"/>
        <v>263474.18</v>
      </c>
      <c r="L27" s="53">
        <f t="shared" si="24"/>
        <v>0</v>
      </c>
      <c r="M27" s="53">
        <f t="shared" si="25"/>
        <v>263474.18</v>
      </c>
      <c r="O27" s="169">
        <f t="shared" si="26"/>
        <v>0.54474619885991138</v>
      </c>
      <c r="P27" s="170">
        <f>M27</f>
        <v>263474.18</v>
      </c>
      <c r="S27" s="124"/>
      <c r="T27" s="124"/>
      <c r="U27" s="162">
        <v>0.5</v>
      </c>
      <c r="V27" s="161">
        <f t="shared" ref="V27" si="28">TRUNC(U27*$M27,2)</f>
        <v>131737.09</v>
      </c>
      <c r="W27" s="162">
        <v>0.5</v>
      </c>
      <c r="X27" s="161">
        <f>TRUNC(W27*$M27,2)</f>
        <v>131737.09</v>
      </c>
      <c r="Y27" s="124"/>
      <c r="Z27" s="124"/>
      <c r="AB27" s="27">
        <f t="shared" si="20"/>
        <v>1</v>
      </c>
      <c r="AC27" s="11">
        <f t="shared" si="20"/>
        <v>263474.18</v>
      </c>
      <c r="AD27" s="3" t="str">
        <f t="shared" si="21"/>
        <v>OK</v>
      </c>
    </row>
    <row r="28" spans="1:30" ht="30" outlineLevel="1" x14ac:dyDescent="0.25">
      <c r="A28" s="8" t="s">
        <v>58</v>
      </c>
      <c r="B28" s="68" t="s">
        <v>536</v>
      </c>
      <c r="C28" s="9" t="s">
        <v>473</v>
      </c>
      <c r="D28" s="59" t="s">
        <v>430</v>
      </c>
      <c r="E28" s="59">
        <v>1092.9000000000001</v>
      </c>
      <c r="F28" s="53">
        <f>'PCCU (NAO DESON)'!F189</f>
        <v>93.59</v>
      </c>
      <c r="G28" s="53">
        <f>'PCCU (NAO DESON)'!F190</f>
        <v>2.48</v>
      </c>
      <c r="H28" s="53">
        <f t="shared" si="22"/>
        <v>96.070000000000007</v>
      </c>
      <c r="I28" s="53">
        <f t="shared" si="23"/>
        <v>104994.9</v>
      </c>
      <c r="J28" s="58">
        <v>0.21129999999999999</v>
      </c>
      <c r="K28" s="53">
        <f t="shared" si="24"/>
        <v>123897.22</v>
      </c>
      <c r="L28" s="53">
        <f t="shared" si="24"/>
        <v>3283.09</v>
      </c>
      <c r="M28" s="53">
        <f t="shared" si="25"/>
        <v>127180.31</v>
      </c>
      <c r="O28" s="169">
        <f>P28/$M$40</f>
        <v>6.7879546983123217E-3</v>
      </c>
      <c r="P28" s="170">
        <f>L28</f>
        <v>3283.09</v>
      </c>
      <c r="S28" s="124"/>
      <c r="T28" s="124"/>
      <c r="U28" s="124"/>
      <c r="V28" s="124"/>
      <c r="W28" s="162">
        <v>0.25</v>
      </c>
      <c r="X28" s="161">
        <f>TRUNC(W28*$M28,2)</f>
        <v>31795.07</v>
      </c>
      <c r="Y28" s="162">
        <v>0.75</v>
      </c>
      <c r="Z28" s="161">
        <f>TRUNC(Y28*$M28,2)+0.01</f>
        <v>95385.239999999991</v>
      </c>
      <c r="AB28" s="27">
        <f t="shared" si="20"/>
        <v>1</v>
      </c>
      <c r="AC28" s="11">
        <f t="shared" si="20"/>
        <v>127180.31</v>
      </c>
      <c r="AD28" s="3" t="str">
        <f t="shared" si="21"/>
        <v>OK</v>
      </c>
    </row>
    <row r="29" spans="1:30" ht="30" outlineLevel="1" x14ac:dyDescent="0.25">
      <c r="A29" s="8" t="s">
        <v>60</v>
      </c>
      <c r="B29" s="8" t="s">
        <v>324</v>
      </c>
      <c r="C29" s="9" t="s">
        <v>216</v>
      </c>
      <c r="D29" s="59" t="s">
        <v>430</v>
      </c>
      <c r="E29" s="59">
        <f>44*0.5</f>
        <v>22</v>
      </c>
      <c r="F29" s="53">
        <v>7.8</v>
      </c>
      <c r="G29" s="53">
        <v>6.27</v>
      </c>
      <c r="H29" s="53">
        <f t="shared" si="22"/>
        <v>14.07</v>
      </c>
      <c r="I29" s="53">
        <f t="shared" si="23"/>
        <v>309.54000000000002</v>
      </c>
      <c r="J29" s="58">
        <v>0.21129999999999999</v>
      </c>
      <c r="K29" s="53">
        <f t="shared" si="24"/>
        <v>207.85</v>
      </c>
      <c r="L29" s="53">
        <f t="shared" si="24"/>
        <v>167.08</v>
      </c>
      <c r="M29" s="53">
        <f t="shared" si="25"/>
        <v>374.93</v>
      </c>
      <c r="S29" s="124"/>
      <c r="T29" s="124"/>
      <c r="U29" s="124"/>
      <c r="V29" s="124"/>
      <c r="W29" s="162">
        <v>0.5</v>
      </c>
      <c r="X29" s="161">
        <f>TRUNC(W29*$M29,2)</f>
        <v>187.46</v>
      </c>
      <c r="Y29" s="162">
        <v>0.5</v>
      </c>
      <c r="Z29" s="161">
        <f>TRUNC(Y29*$M29,2)+0.01</f>
        <v>187.47</v>
      </c>
      <c r="AB29" s="27">
        <f t="shared" si="20"/>
        <v>1</v>
      </c>
      <c r="AC29" s="11">
        <f t="shared" si="20"/>
        <v>374.93</v>
      </c>
      <c r="AD29" s="3" t="str">
        <f t="shared" si="21"/>
        <v>OK</v>
      </c>
    </row>
    <row r="30" spans="1:30" ht="30" outlineLevel="1" x14ac:dyDescent="0.25">
      <c r="A30" s="8" t="s">
        <v>62</v>
      </c>
      <c r="B30" s="68" t="s">
        <v>537</v>
      </c>
      <c r="C30" s="9" t="s">
        <v>538</v>
      </c>
      <c r="D30" s="59" t="s">
        <v>84</v>
      </c>
      <c r="E30" s="59">
        <f>44*2*3</f>
        <v>264</v>
      </c>
      <c r="F30" s="53">
        <f>0.06+25.8+0.05</f>
        <v>25.91</v>
      </c>
      <c r="G30" s="53">
        <v>16.18</v>
      </c>
      <c r="H30" s="53">
        <f t="shared" si="22"/>
        <v>42.09</v>
      </c>
      <c r="I30" s="53">
        <f t="shared" si="23"/>
        <v>11111.76</v>
      </c>
      <c r="J30" s="58">
        <v>0.21129999999999999</v>
      </c>
      <c r="K30" s="53">
        <f t="shared" si="24"/>
        <v>8285.58</v>
      </c>
      <c r="L30" s="53">
        <f t="shared" si="24"/>
        <v>5174.09</v>
      </c>
      <c r="M30" s="53">
        <f t="shared" si="25"/>
        <v>13459.67</v>
      </c>
      <c r="O30" s="169">
        <f t="shared" ref="O30" si="29">P30/$M$40</f>
        <v>1.0697692882312334E-2</v>
      </c>
      <c r="P30" s="170">
        <f t="shared" ref="P30" si="30">L30</f>
        <v>5174.09</v>
      </c>
      <c r="S30" s="124"/>
      <c r="T30" s="124"/>
      <c r="U30" s="162">
        <v>0.25</v>
      </c>
      <c r="V30" s="161">
        <f>TRUNC(U30*$M30,2)</f>
        <v>3364.91</v>
      </c>
      <c r="W30" s="162">
        <v>0.75</v>
      </c>
      <c r="X30" s="161">
        <f>TRUNC(W30*$M30,2)+0.01</f>
        <v>10094.76</v>
      </c>
      <c r="Y30" s="124"/>
      <c r="Z30" s="124"/>
      <c r="AB30" s="27">
        <f t="shared" si="20"/>
        <v>1</v>
      </c>
      <c r="AC30" s="11">
        <f t="shared" si="20"/>
        <v>13459.67</v>
      </c>
      <c r="AD30" s="3" t="str">
        <f t="shared" si="21"/>
        <v>OK</v>
      </c>
    </row>
    <row r="31" spans="1:30" ht="30" outlineLevel="1" x14ac:dyDescent="0.25">
      <c r="A31" s="8" t="s">
        <v>63</v>
      </c>
      <c r="B31" s="68" t="s">
        <v>292</v>
      </c>
      <c r="C31" s="9" t="s">
        <v>150</v>
      </c>
      <c r="D31" s="59" t="s">
        <v>437</v>
      </c>
      <c r="E31" s="59">
        <f>1.2*0.5*0.5*44</f>
        <v>13.2</v>
      </c>
      <c r="F31" s="53">
        <v>20.399999999999999</v>
      </c>
      <c r="G31" s="53">
        <v>50.2</v>
      </c>
      <c r="H31" s="53">
        <f t="shared" si="22"/>
        <v>70.599999999999994</v>
      </c>
      <c r="I31" s="53">
        <f t="shared" si="23"/>
        <v>931.92</v>
      </c>
      <c r="J31" s="58">
        <v>0.21129999999999999</v>
      </c>
      <c r="K31" s="53">
        <f t="shared" si="24"/>
        <v>326.17</v>
      </c>
      <c r="L31" s="53">
        <f t="shared" si="24"/>
        <v>802.65</v>
      </c>
      <c r="M31" s="53">
        <f t="shared" si="25"/>
        <v>1128.82</v>
      </c>
      <c r="O31" s="20"/>
      <c r="P31" s="11"/>
      <c r="S31" s="124"/>
      <c r="T31" s="124"/>
      <c r="U31" s="162">
        <v>1</v>
      </c>
      <c r="V31" s="161">
        <f t="shared" ref="V31" si="31">TRUNC(U31*$M31,2)</f>
        <v>1128.82</v>
      </c>
      <c r="W31" s="124"/>
      <c r="X31" s="124"/>
      <c r="Y31" s="124"/>
      <c r="Z31" s="124"/>
      <c r="AB31" s="27">
        <f t="shared" si="20"/>
        <v>1</v>
      </c>
      <c r="AC31" s="11">
        <f t="shared" si="20"/>
        <v>1128.82</v>
      </c>
      <c r="AD31" s="3" t="str">
        <f t="shared" si="21"/>
        <v>OK</v>
      </c>
    </row>
    <row r="32" spans="1:30" ht="45" outlineLevel="1" x14ac:dyDescent="0.25">
      <c r="A32" s="8" t="s">
        <v>65</v>
      </c>
      <c r="B32" s="68" t="s">
        <v>432</v>
      </c>
      <c r="C32" s="9" t="s">
        <v>431</v>
      </c>
      <c r="D32" s="59" t="s">
        <v>430</v>
      </c>
      <c r="E32" s="59">
        <v>44</v>
      </c>
      <c r="F32" s="53">
        <f>0.03+50.68+0.08</f>
        <v>50.79</v>
      </c>
      <c r="G32" s="53">
        <v>16.239999999999998</v>
      </c>
      <c r="H32" s="53">
        <f t="shared" si="22"/>
        <v>67.03</v>
      </c>
      <c r="I32" s="53">
        <f t="shared" si="23"/>
        <v>2949.32</v>
      </c>
      <c r="J32" s="58">
        <v>0.21129999999999999</v>
      </c>
      <c r="K32" s="53">
        <f t="shared" si="24"/>
        <v>2706.96</v>
      </c>
      <c r="L32" s="53">
        <f t="shared" si="24"/>
        <v>865.54</v>
      </c>
      <c r="M32" s="53">
        <f t="shared" si="25"/>
        <v>3572.5</v>
      </c>
      <c r="P32" s="11"/>
      <c r="S32" s="124"/>
      <c r="T32" s="124"/>
      <c r="U32" s="124"/>
      <c r="V32" s="124"/>
      <c r="W32" s="162">
        <v>0.75</v>
      </c>
      <c r="X32" s="161">
        <f>TRUNC(W32*$M32,2)</f>
        <v>2679.37</v>
      </c>
      <c r="Y32" s="162">
        <v>0.25</v>
      </c>
      <c r="Z32" s="161">
        <f>TRUNC(Y32*$M32,2)+0.01</f>
        <v>893.13</v>
      </c>
      <c r="AB32" s="27">
        <f t="shared" si="20"/>
        <v>1</v>
      </c>
      <c r="AC32" s="11">
        <f t="shared" si="20"/>
        <v>3572.5</v>
      </c>
      <c r="AD32" s="3" t="str">
        <f t="shared" si="21"/>
        <v>OK</v>
      </c>
    </row>
    <row r="33" spans="1:30" ht="60" outlineLevel="1" x14ac:dyDescent="0.25">
      <c r="A33" s="8" t="s">
        <v>67</v>
      </c>
      <c r="B33" s="68" t="s">
        <v>554</v>
      </c>
      <c r="C33" s="9" t="s">
        <v>555</v>
      </c>
      <c r="D33" s="59" t="s">
        <v>207</v>
      </c>
      <c r="E33" s="59">
        <v>16</v>
      </c>
      <c r="F33" s="53">
        <v>46.48</v>
      </c>
      <c r="G33" s="53">
        <v>7.72</v>
      </c>
      <c r="H33" s="53">
        <f t="shared" si="22"/>
        <v>54.199999999999996</v>
      </c>
      <c r="I33" s="53">
        <f t="shared" si="23"/>
        <v>867.2</v>
      </c>
      <c r="J33" s="58">
        <v>0.21129999999999999</v>
      </c>
      <c r="K33" s="53">
        <f t="shared" si="24"/>
        <v>900.81</v>
      </c>
      <c r="L33" s="53">
        <f t="shared" si="24"/>
        <v>149.61000000000001</v>
      </c>
      <c r="M33" s="53">
        <f t="shared" si="25"/>
        <v>1050.42</v>
      </c>
      <c r="O33" s="20"/>
      <c r="P33" s="11"/>
      <c r="S33" s="124"/>
      <c r="T33" s="124"/>
      <c r="U33" s="124"/>
      <c r="V33" s="124"/>
      <c r="W33" s="124"/>
      <c r="X33" s="124"/>
      <c r="Y33" s="162">
        <v>1</v>
      </c>
      <c r="Z33" s="161">
        <f t="shared" ref="Z33" si="32">TRUNC(Y33*$M33,2)</f>
        <v>1050.42</v>
      </c>
      <c r="AB33" s="27">
        <f t="shared" si="20"/>
        <v>1</v>
      </c>
      <c r="AC33" s="11">
        <f t="shared" si="20"/>
        <v>1050.42</v>
      </c>
      <c r="AD33" s="3" t="str">
        <f t="shared" si="21"/>
        <v>OK</v>
      </c>
    </row>
    <row r="34" spans="1:30" ht="30" outlineLevel="1" x14ac:dyDescent="0.25">
      <c r="A34" s="8" t="s">
        <v>435</v>
      </c>
      <c r="B34" s="68" t="s">
        <v>299</v>
      </c>
      <c r="C34" s="9" t="s">
        <v>539</v>
      </c>
      <c r="D34" s="59" t="s">
        <v>430</v>
      </c>
      <c r="E34" s="59">
        <f>1.5*44</f>
        <v>66</v>
      </c>
      <c r="F34" s="53">
        <f>66.57+0.17</f>
        <v>66.739999999999995</v>
      </c>
      <c r="G34" s="53">
        <v>36.26</v>
      </c>
      <c r="H34" s="53">
        <f t="shared" si="22"/>
        <v>103</v>
      </c>
      <c r="I34" s="53">
        <f t="shared" si="23"/>
        <v>6798</v>
      </c>
      <c r="J34" s="58">
        <v>0.21129999999999999</v>
      </c>
      <c r="K34" s="53">
        <f t="shared" si="24"/>
        <v>5335.58</v>
      </c>
      <c r="L34" s="53">
        <f t="shared" si="24"/>
        <v>2898.83</v>
      </c>
      <c r="M34" s="53">
        <f t="shared" si="25"/>
        <v>8234.41</v>
      </c>
      <c r="O34" s="169">
        <f t="shared" ref="O34:O36" si="33">P34/$M$40</f>
        <v>5.9934777048782414E-3</v>
      </c>
      <c r="P34" s="170">
        <f t="shared" ref="P34:P36" si="34">L34</f>
        <v>2898.83</v>
      </c>
      <c r="S34" s="124"/>
      <c r="T34" s="124"/>
      <c r="U34" s="162">
        <v>1</v>
      </c>
      <c r="V34" s="161">
        <f t="shared" ref="V34:V37" si="35">TRUNC(U34*$M34,2)</f>
        <v>8234.41</v>
      </c>
      <c r="W34" s="124"/>
      <c r="X34" s="124"/>
      <c r="Y34" s="124"/>
      <c r="Z34" s="124"/>
      <c r="AB34" s="27">
        <f t="shared" si="20"/>
        <v>1</v>
      </c>
      <c r="AC34" s="11">
        <f t="shared" si="20"/>
        <v>8234.41</v>
      </c>
      <c r="AD34" s="3" t="str">
        <f t="shared" si="21"/>
        <v>OK</v>
      </c>
    </row>
    <row r="35" spans="1:30" ht="30" outlineLevel="1" x14ac:dyDescent="0.25">
      <c r="A35" s="8" t="s">
        <v>434</v>
      </c>
      <c r="B35" s="68" t="s">
        <v>300</v>
      </c>
      <c r="C35" s="9" t="s">
        <v>540</v>
      </c>
      <c r="D35" s="59" t="s">
        <v>81</v>
      </c>
      <c r="E35" s="59">
        <f>4.752*1.1*44</f>
        <v>229.99680000000001</v>
      </c>
      <c r="F35" s="53">
        <v>8.91</v>
      </c>
      <c r="G35" s="53">
        <v>2.38</v>
      </c>
      <c r="H35" s="53">
        <f t="shared" si="22"/>
        <v>11.29</v>
      </c>
      <c r="I35" s="53">
        <f t="shared" si="23"/>
        <v>2596.66</v>
      </c>
      <c r="J35" s="58">
        <v>0.21129999999999999</v>
      </c>
      <c r="K35" s="53">
        <f t="shared" si="24"/>
        <v>2482.2800000000002</v>
      </c>
      <c r="L35" s="53">
        <f t="shared" si="24"/>
        <v>663.05</v>
      </c>
      <c r="M35" s="53">
        <f t="shared" si="25"/>
        <v>3145.33</v>
      </c>
      <c r="O35" s="169">
        <f t="shared" si="33"/>
        <v>1.3708894251196235E-3</v>
      </c>
      <c r="P35" s="170">
        <f t="shared" si="34"/>
        <v>663.05</v>
      </c>
      <c r="S35" s="124"/>
      <c r="T35" s="124"/>
      <c r="U35" s="162">
        <v>1</v>
      </c>
      <c r="V35" s="161">
        <f t="shared" si="35"/>
        <v>3145.33</v>
      </c>
      <c r="W35" s="124"/>
      <c r="X35" s="124"/>
      <c r="Y35" s="124"/>
      <c r="Z35" s="124"/>
      <c r="AB35" s="27">
        <f t="shared" si="20"/>
        <v>1</v>
      </c>
      <c r="AC35" s="11">
        <f t="shared" si="20"/>
        <v>3145.33</v>
      </c>
      <c r="AD35" s="3" t="str">
        <f t="shared" si="21"/>
        <v>OK</v>
      </c>
    </row>
    <row r="36" spans="1:30" ht="30" outlineLevel="1" x14ac:dyDescent="0.25">
      <c r="A36" s="8" t="s">
        <v>436</v>
      </c>
      <c r="B36" s="68" t="s">
        <v>301</v>
      </c>
      <c r="C36" s="9" t="s">
        <v>220</v>
      </c>
      <c r="D36" s="59" t="s">
        <v>437</v>
      </c>
      <c r="E36" s="59">
        <f>0.5*0.5*1.2*1.1*44</f>
        <v>14.520000000000001</v>
      </c>
      <c r="F36" s="53">
        <f>2.36+335.44+1.79</f>
        <v>339.59000000000003</v>
      </c>
      <c r="G36" s="53">
        <v>104.36</v>
      </c>
      <c r="H36" s="53">
        <f t="shared" si="22"/>
        <v>443.95000000000005</v>
      </c>
      <c r="I36" s="53">
        <f t="shared" si="23"/>
        <v>6446.15</v>
      </c>
      <c r="J36" s="58">
        <v>0.21129999999999999</v>
      </c>
      <c r="K36" s="53">
        <f t="shared" si="24"/>
        <v>5972.73</v>
      </c>
      <c r="L36" s="53">
        <f t="shared" si="24"/>
        <v>1835.49</v>
      </c>
      <c r="M36" s="53">
        <f t="shared" si="25"/>
        <v>7808.2199999999993</v>
      </c>
      <c r="O36" s="169">
        <f t="shared" si="33"/>
        <v>3.7949684502116246E-3</v>
      </c>
      <c r="P36" s="170">
        <f t="shared" si="34"/>
        <v>1835.49</v>
      </c>
      <c r="S36" s="124"/>
      <c r="T36" s="124"/>
      <c r="U36" s="162">
        <v>1</v>
      </c>
      <c r="V36" s="161">
        <f t="shared" si="35"/>
        <v>7808.22</v>
      </c>
      <c r="W36" s="124"/>
      <c r="X36" s="124"/>
      <c r="Y36" s="124"/>
      <c r="Z36" s="124"/>
      <c r="AB36" s="27">
        <f t="shared" si="20"/>
        <v>1</v>
      </c>
      <c r="AC36" s="11">
        <f t="shared" si="20"/>
        <v>7808.22</v>
      </c>
      <c r="AD36" s="3" t="str">
        <f t="shared" si="21"/>
        <v>OK</v>
      </c>
    </row>
    <row r="37" spans="1:30" ht="45" outlineLevel="1" x14ac:dyDescent="0.25">
      <c r="A37" s="8" t="s">
        <v>552</v>
      </c>
      <c r="B37" s="68" t="s">
        <v>541</v>
      </c>
      <c r="C37" s="9" t="s">
        <v>542</v>
      </c>
      <c r="D37" s="59" t="s">
        <v>437</v>
      </c>
      <c r="E37" s="59">
        <v>16</v>
      </c>
      <c r="F37" s="53">
        <v>14.88</v>
      </c>
      <c r="G37" s="53">
        <v>33.479999999999997</v>
      </c>
      <c r="H37" s="53">
        <f t="shared" si="22"/>
        <v>48.36</v>
      </c>
      <c r="I37" s="53">
        <f t="shared" si="23"/>
        <v>773.76</v>
      </c>
      <c r="J37" s="58">
        <v>0.21129999999999999</v>
      </c>
      <c r="K37" s="53">
        <f t="shared" si="24"/>
        <v>288.38</v>
      </c>
      <c r="L37" s="53">
        <f t="shared" si="24"/>
        <v>648.86</v>
      </c>
      <c r="M37" s="53">
        <f t="shared" si="25"/>
        <v>937.24</v>
      </c>
      <c r="S37" s="124"/>
      <c r="T37" s="124"/>
      <c r="U37" s="162">
        <v>0.75</v>
      </c>
      <c r="V37" s="161">
        <f t="shared" si="35"/>
        <v>702.93</v>
      </c>
      <c r="W37" s="162">
        <v>0.25</v>
      </c>
      <c r="X37" s="161">
        <f>TRUNC(W37*$M37,2)</f>
        <v>234.31</v>
      </c>
      <c r="Y37" s="124"/>
      <c r="Z37" s="124"/>
      <c r="AB37" s="27">
        <f t="shared" si="20"/>
        <v>1</v>
      </c>
      <c r="AC37" s="11">
        <f t="shared" si="20"/>
        <v>937.24</v>
      </c>
      <c r="AD37" s="3" t="str">
        <f t="shared" si="21"/>
        <v>OK</v>
      </c>
    </row>
    <row r="38" spans="1:30" outlineLevel="1" x14ac:dyDescent="0.25">
      <c r="A38" s="8" t="s">
        <v>553</v>
      </c>
      <c r="B38" s="8" t="s">
        <v>326</v>
      </c>
      <c r="C38" s="9" t="s">
        <v>222</v>
      </c>
      <c r="D38" s="59" t="s">
        <v>430</v>
      </c>
      <c r="E38" s="59">
        <v>3150.12</v>
      </c>
      <c r="F38" s="53">
        <f>0.4+0.01</f>
        <v>0.41000000000000003</v>
      </c>
      <c r="G38" s="53">
        <v>0.98</v>
      </c>
      <c r="H38" s="53">
        <f t="shared" si="22"/>
        <v>1.3900000000000001</v>
      </c>
      <c r="I38" s="53">
        <f t="shared" si="23"/>
        <v>4378.66</v>
      </c>
      <c r="J38" s="58">
        <v>0.21129999999999999</v>
      </c>
      <c r="K38" s="53">
        <f t="shared" si="24"/>
        <v>1564.45</v>
      </c>
      <c r="L38" s="53">
        <f t="shared" si="24"/>
        <v>3739.42</v>
      </c>
      <c r="M38" s="53">
        <f t="shared" si="25"/>
        <v>5303.87</v>
      </c>
      <c r="O38" s="20"/>
      <c r="P38" s="11"/>
      <c r="S38" s="124"/>
      <c r="T38" s="124"/>
      <c r="U38" s="124"/>
      <c r="V38" s="124"/>
      <c r="W38" s="124"/>
      <c r="X38" s="124"/>
      <c r="Y38" s="162">
        <v>1</v>
      </c>
      <c r="Z38" s="161">
        <f t="shared" ref="Z38" si="36">TRUNC(Y38*$M38,2)</f>
        <v>5303.87</v>
      </c>
      <c r="AB38" s="27">
        <f t="shared" si="20"/>
        <v>1</v>
      </c>
      <c r="AC38" s="11">
        <f t="shared" si="20"/>
        <v>5303.87</v>
      </c>
      <c r="AD38" s="3" t="str">
        <f t="shared" si="21"/>
        <v>OK</v>
      </c>
    </row>
    <row r="39" spans="1:30" x14ac:dyDescent="0.25">
      <c r="A39" s="39"/>
      <c r="B39" s="165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30" ht="30" customHeight="1" x14ac:dyDescent="0.25">
      <c r="A40" s="44"/>
      <c r="B40" s="44"/>
      <c r="C40" s="44" t="s">
        <v>404</v>
      </c>
      <c r="D40" s="44"/>
      <c r="E40" s="44"/>
      <c r="F40" s="47"/>
      <c r="G40" s="47"/>
      <c r="H40" s="44"/>
      <c r="I40" s="47">
        <f>SUM(I7:I39)</f>
        <v>411627.50454999995</v>
      </c>
      <c r="J40" s="72"/>
      <c r="K40" s="47">
        <f>SUM(K7:K39)</f>
        <v>432307</v>
      </c>
      <c r="L40" s="47">
        <f>SUM(L7:L39)</f>
        <v>51357.1</v>
      </c>
      <c r="M40" s="171">
        <f>M25+M14+M7</f>
        <v>483664.09999999992</v>
      </c>
      <c r="O40" s="169">
        <f>P40/$M$40</f>
        <v>0.58846579682056221</v>
      </c>
      <c r="P40" s="14">
        <f>SUM(P7:P38)</f>
        <v>284619.78000000003</v>
      </c>
      <c r="R40" s="34" t="s">
        <v>404</v>
      </c>
      <c r="S40" s="28">
        <f>T40/$M$40</f>
        <v>1.8470463282265526E-2</v>
      </c>
      <c r="T40" s="14">
        <f>SUM(T7:T39)/2</f>
        <v>8933.5</v>
      </c>
      <c r="U40" s="28">
        <f>V40/$M$40</f>
        <v>0.34697092465618184</v>
      </c>
      <c r="V40" s="14">
        <f>SUM(V7:V39)/2</f>
        <v>167817.37999999998</v>
      </c>
      <c r="W40" s="28">
        <f>X40/$M$40</f>
        <v>0.40279307478061749</v>
      </c>
      <c r="X40" s="14">
        <f>SUM(X7:X39)/2</f>
        <v>194816.55000000002</v>
      </c>
      <c r="Y40" s="28">
        <f>Z40/$M$40</f>
        <v>0.2317655372809353</v>
      </c>
      <c r="Z40" s="14">
        <f>SUM(Z7:Z39)/2</f>
        <v>112096.67</v>
      </c>
      <c r="AC40" s="33">
        <f>SUM(AC7:AC39)/2</f>
        <v>483664.10000000003</v>
      </c>
      <c r="AD40" s="3" t="str">
        <f t="shared" si="21"/>
        <v>OK</v>
      </c>
    </row>
    <row r="41" spans="1:30" x14ac:dyDescent="0.25">
      <c r="K41" s="36">
        <f>K40/$M$40</f>
        <v>0.89381659709703509</v>
      </c>
      <c r="L41" s="36">
        <f>L40/$M$40</f>
        <v>0.10618340290296512</v>
      </c>
      <c r="M41" s="36">
        <f>M40/$M$40</f>
        <v>1</v>
      </c>
      <c r="S41" s="29"/>
      <c r="U41" s="29"/>
      <c r="W41" s="29"/>
      <c r="Y41" s="29"/>
    </row>
    <row r="42" spans="1:30" ht="45" x14ac:dyDescent="0.25">
      <c r="R42" s="35" t="s">
        <v>405</v>
      </c>
      <c r="S42" s="28">
        <f>S40</f>
        <v>1.8470463282265526E-2</v>
      </c>
      <c r="T42" s="14">
        <f>T40</f>
        <v>8933.5</v>
      </c>
      <c r="U42" s="28">
        <f t="shared" ref="U42:Z42" si="37">U40+S42</f>
        <v>0.36544138793844738</v>
      </c>
      <c r="V42" s="14">
        <f t="shared" si="37"/>
        <v>176750.87999999998</v>
      </c>
      <c r="W42" s="28">
        <f t="shared" si="37"/>
        <v>0.76823446271906493</v>
      </c>
      <c r="X42" s="14">
        <f t="shared" si="37"/>
        <v>371567.43</v>
      </c>
      <c r="Y42" s="28">
        <f t="shared" si="37"/>
        <v>1.0000000000000002</v>
      </c>
      <c r="Z42" s="14">
        <f t="shared" si="37"/>
        <v>483664.1</v>
      </c>
    </row>
    <row r="43" spans="1:30" ht="18" x14ac:dyDescent="0.25">
      <c r="C43" s="117"/>
    </row>
  </sheetData>
  <conditionalFormatting sqref="AC8:AC12 AC26:AC38">
    <cfRule type="cellIs" dxfId="17" priority="17" operator="notEqual">
      <formula>$M8</formula>
    </cfRule>
    <cfRule type="cellIs" dxfId="16" priority="18" operator="equal">
      <formula>$M8</formula>
    </cfRule>
  </conditionalFormatting>
  <conditionalFormatting sqref="AC25">
    <cfRule type="cellIs" dxfId="15" priority="15" operator="notEqual">
      <formula>$M25</formula>
    </cfRule>
    <cfRule type="cellIs" dxfId="14" priority="16" operator="equal">
      <formula>$M25</formula>
    </cfRule>
  </conditionalFormatting>
  <conditionalFormatting sqref="AC7">
    <cfRule type="cellIs" dxfId="13" priority="13" operator="notEqual">
      <formula>$M7</formula>
    </cfRule>
    <cfRule type="cellIs" dxfId="12" priority="14" operator="equal">
      <formula>$M7</formula>
    </cfRule>
  </conditionalFormatting>
  <conditionalFormatting sqref="AC15">
    <cfRule type="cellIs" dxfId="11" priority="11" operator="notEqual">
      <formula>$M15</formula>
    </cfRule>
    <cfRule type="cellIs" dxfId="10" priority="12" operator="equal">
      <formula>$M15</formula>
    </cfRule>
  </conditionalFormatting>
  <conditionalFormatting sqref="AC16">
    <cfRule type="cellIs" dxfId="9" priority="9" operator="notEqual">
      <formula>$M16</formula>
    </cfRule>
    <cfRule type="cellIs" dxfId="8" priority="10" operator="equal">
      <formula>$M16</formula>
    </cfRule>
  </conditionalFormatting>
  <conditionalFormatting sqref="AC17">
    <cfRule type="cellIs" dxfId="7" priority="7" operator="notEqual">
      <formula>$M17</formula>
    </cfRule>
    <cfRule type="cellIs" dxfId="6" priority="8" operator="equal">
      <formula>$M17</formula>
    </cfRule>
  </conditionalFormatting>
  <conditionalFormatting sqref="AC18">
    <cfRule type="cellIs" dxfId="5" priority="5" operator="notEqual">
      <formula>$M18</formula>
    </cfRule>
    <cfRule type="cellIs" dxfId="4" priority="6" operator="equal">
      <formula>$M18</formula>
    </cfRule>
  </conditionalFormatting>
  <conditionalFormatting sqref="AC19:AC23">
    <cfRule type="cellIs" dxfId="3" priority="3" operator="notEqual">
      <formula>$M19</formula>
    </cfRule>
    <cfRule type="cellIs" dxfId="2" priority="4" operator="equal">
      <formula>$M19</formula>
    </cfRule>
  </conditionalFormatting>
  <conditionalFormatting sqref="AC14">
    <cfRule type="cellIs" dxfId="1" priority="1" operator="notEqual">
      <formula>$M14</formula>
    </cfRule>
    <cfRule type="cellIs" dxfId="0" priority="2" operator="equal">
      <formula>$M14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&amp;LTRIBUNAL REGIONAL DO TRABALHO DA 24ª REGIÃO&amp;CEXECUÇÃO DA ESTRUTURA DE COBERTURA EM TELHA PERFURADA</oddHeader>
    <oddFooter>&amp;R&amp;P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PQCU</vt:lpstr>
      <vt:lpstr>PCCU composicoes</vt:lpstr>
      <vt:lpstr>PQCU IMPRESSAO</vt:lpstr>
      <vt:lpstr>usar essas &gt;&gt;&gt;&gt;&gt;</vt:lpstr>
      <vt:lpstr>PQCU (NAO DESON)</vt:lpstr>
      <vt:lpstr>PCCU capa</vt:lpstr>
      <vt:lpstr>PCCU (NAO DESON)</vt:lpstr>
      <vt:lpstr>COTACOES</vt:lpstr>
      <vt:lpstr>CRONOG FIS FINANC</vt:lpstr>
      <vt:lpstr>'CRONOG FIS FINANC'!Area_de_impressao</vt:lpstr>
      <vt:lpstr>'CRONOG FIS FINANC'!Titulos_de_impressao</vt:lpstr>
      <vt:lpstr>'PQCU (NAO DESON)'!Titulos_de_impressao</vt:lpstr>
      <vt:lpstr>'PQCU IMPRESSAO'!Titulos_de_impressao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2020-11-03T13:54:26Z</dcterms:modified>
</cp:coreProperties>
</file>