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PQCU" sheetId="1" r:id="rId1"/>
    <sheet name="PCCU" sheetId="2" r:id="rId2"/>
    <sheet name="Cronograma Descritivo" sheetId="3" r:id="rId3"/>
    <sheet name="Cronograma FF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6" i="4" l="1"/>
  <c r="V95" i="4"/>
  <c r="M95" i="4"/>
  <c r="T95" i="4" s="1"/>
  <c r="W95" i="4" s="1"/>
  <c r="L95" i="4"/>
  <c r="K95" i="4"/>
  <c r="I95" i="4"/>
  <c r="V94" i="4"/>
  <c r="L94" i="4"/>
  <c r="K94" i="4"/>
  <c r="I94" i="4"/>
  <c r="M94" i="4" s="1"/>
  <c r="T94" i="4" s="1"/>
  <c r="W94" i="4" s="1"/>
  <c r="V93" i="4"/>
  <c r="L93" i="4"/>
  <c r="K93" i="4"/>
  <c r="I93" i="4"/>
  <c r="M93" i="4" s="1"/>
  <c r="T93" i="4" s="1"/>
  <c r="W93" i="4" s="1"/>
  <c r="V92" i="4"/>
  <c r="L92" i="4"/>
  <c r="K92" i="4"/>
  <c r="I92" i="4"/>
  <c r="M92" i="4" s="1"/>
  <c r="T92" i="4" s="1"/>
  <c r="W92" i="4" s="1"/>
  <c r="V91" i="4"/>
  <c r="M91" i="4"/>
  <c r="T91" i="4" s="1"/>
  <c r="L91" i="4"/>
  <c r="K91" i="4"/>
  <c r="I91" i="4"/>
  <c r="V90" i="4"/>
  <c r="L90" i="4"/>
  <c r="G90" i="4"/>
  <c r="K90" i="4" s="1"/>
  <c r="V89" i="4"/>
  <c r="L89" i="4"/>
  <c r="K89" i="4"/>
  <c r="G89" i="4"/>
  <c r="I89" i="4" s="1"/>
  <c r="M89" i="4" s="1"/>
  <c r="P89" i="4" s="1"/>
  <c r="W89" i="4" s="1"/>
  <c r="V88" i="4"/>
  <c r="L88" i="4"/>
  <c r="K88" i="4"/>
  <c r="I88" i="4"/>
  <c r="M88" i="4" s="1"/>
  <c r="P88" i="4" s="1"/>
  <c r="W88" i="4" s="1"/>
  <c r="V87" i="4"/>
  <c r="L87" i="4"/>
  <c r="K87" i="4"/>
  <c r="I87" i="4"/>
  <c r="M87" i="4" s="1"/>
  <c r="P87" i="4" s="1"/>
  <c r="W87" i="4" s="1"/>
  <c r="V86" i="4"/>
  <c r="L86" i="4"/>
  <c r="K86" i="4"/>
  <c r="I86" i="4"/>
  <c r="M86" i="4" s="1"/>
  <c r="P86" i="4" s="1"/>
  <c r="W86" i="4" s="1"/>
  <c r="V85" i="4"/>
  <c r="M85" i="4"/>
  <c r="P85" i="4" s="1"/>
  <c r="W85" i="4" s="1"/>
  <c r="L85" i="4"/>
  <c r="K85" i="4"/>
  <c r="I85" i="4"/>
  <c r="V84" i="4"/>
  <c r="L84" i="4"/>
  <c r="K84" i="4"/>
  <c r="G84" i="4"/>
  <c r="I84" i="4" s="1"/>
  <c r="M84" i="4" s="1"/>
  <c r="P84" i="4" s="1"/>
  <c r="W84" i="4" s="1"/>
  <c r="V83" i="4"/>
  <c r="L83" i="4"/>
  <c r="K83" i="4"/>
  <c r="I83" i="4"/>
  <c r="M83" i="4" s="1"/>
  <c r="P83" i="4" s="1"/>
  <c r="W83" i="4" s="1"/>
  <c r="V82" i="4"/>
  <c r="L82" i="4"/>
  <c r="K82" i="4"/>
  <c r="K96" i="4" s="1"/>
  <c r="I82" i="4"/>
  <c r="M82" i="4" s="1"/>
  <c r="R77" i="4"/>
  <c r="V76" i="4"/>
  <c r="M76" i="4"/>
  <c r="T76" i="4" s="1"/>
  <c r="L76" i="4"/>
  <c r="K76" i="4"/>
  <c r="I76" i="4"/>
  <c r="V75" i="4"/>
  <c r="L75" i="4"/>
  <c r="K75" i="4"/>
  <c r="I75" i="4"/>
  <c r="M75" i="4" s="1"/>
  <c r="T75" i="4" s="1"/>
  <c r="V74" i="4"/>
  <c r="L74" i="4"/>
  <c r="L77" i="4" s="1"/>
  <c r="K74" i="4"/>
  <c r="K77" i="4" s="1"/>
  <c r="I74" i="4"/>
  <c r="M74" i="4" s="1"/>
  <c r="R69" i="4"/>
  <c r="V68" i="4"/>
  <c r="L68" i="4"/>
  <c r="G68" i="4"/>
  <c r="K68" i="4" s="1"/>
  <c r="V67" i="4"/>
  <c r="M67" i="4"/>
  <c r="T67" i="4" s="1"/>
  <c r="W67" i="4" s="1"/>
  <c r="L67" i="4"/>
  <c r="K67" i="4"/>
  <c r="I67" i="4"/>
  <c r="V66" i="4"/>
  <c r="L66" i="4"/>
  <c r="K66" i="4"/>
  <c r="I66" i="4"/>
  <c r="M66" i="4" s="1"/>
  <c r="T66" i="4" s="1"/>
  <c r="W66" i="4" s="1"/>
  <c r="G66" i="4"/>
  <c r="V65" i="4"/>
  <c r="L65" i="4"/>
  <c r="K65" i="4"/>
  <c r="I65" i="4"/>
  <c r="M65" i="4" s="1"/>
  <c r="P65" i="4" s="1"/>
  <c r="W65" i="4" s="1"/>
  <c r="G65" i="4"/>
  <c r="V64" i="4"/>
  <c r="L64" i="4"/>
  <c r="K64" i="4"/>
  <c r="I64" i="4"/>
  <c r="M64" i="4" s="1"/>
  <c r="P64" i="4" s="1"/>
  <c r="G64" i="4"/>
  <c r="V63" i="4"/>
  <c r="L63" i="4"/>
  <c r="K63" i="4"/>
  <c r="I63" i="4"/>
  <c r="M63" i="4" s="1"/>
  <c r="T63" i="4" s="1"/>
  <c r="W63" i="4" s="1"/>
  <c r="G63" i="4"/>
  <c r="V62" i="4"/>
  <c r="L62" i="4"/>
  <c r="K62" i="4"/>
  <c r="I62" i="4"/>
  <c r="M62" i="4" s="1"/>
  <c r="T62" i="4" s="1"/>
  <c r="W62" i="4" s="1"/>
  <c r="G62" i="4"/>
  <c r="V61" i="4"/>
  <c r="L61" i="4"/>
  <c r="K61" i="4"/>
  <c r="I61" i="4"/>
  <c r="M61" i="4" s="1"/>
  <c r="T61" i="4" s="1"/>
  <c r="W61" i="4" s="1"/>
  <c r="V60" i="4"/>
  <c r="L60" i="4"/>
  <c r="K60" i="4"/>
  <c r="I60" i="4"/>
  <c r="M60" i="4" s="1"/>
  <c r="T60" i="4" s="1"/>
  <c r="W60" i="4" s="1"/>
  <c r="G60" i="4"/>
  <c r="V59" i="4"/>
  <c r="L59" i="4"/>
  <c r="K59" i="4"/>
  <c r="I59" i="4"/>
  <c r="M59" i="4" s="1"/>
  <c r="T59" i="4" s="1"/>
  <c r="W59" i="4" s="1"/>
  <c r="V58" i="4"/>
  <c r="L58" i="4"/>
  <c r="I58" i="4"/>
  <c r="M58" i="4" s="1"/>
  <c r="T58" i="4" s="1"/>
  <c r="W58" i="4" s="1"/>
  <c r="G58" i="4"/>
  <c r="K58" i="4" s="1"/>
  <c r="V57" i="4"/>
  <c r="L57" i="4"/>
  <c r="K57" i="4"/>
  <c r="I57" i="4"/>
  <c r="M57" i="4" s="1"/>
  <c r="T57" i="4" s="1"/>
  <c r="W57" i="4" s="1"/>
  <c r="V56" i="4"/>
  <c r="L56" i="4"/>
  <c r="G56" i="4"/>
  <c r="K56" i="4" s="1"/>
  <c r="P52" i="4"/>
  <c r="V51" i="4"/>
  <c r="L51" i="4"/>
  <c r="K51" i="4"/>
  <c r="I51" i="4"/>
  <c r="M51" i="4" s="1"/>
  <c r="T51" i="4" s="1"/>
  <c r="W51" i="4" s="1"/>
  <c r="V50" i="4"/>
  <c r="L50" i="4"/>
  <c r="K50" i="4"/>
  <c r="I50" i="4"/>
  <c r="M50" i="4" s="1"/>
  <c r="T50" i="4" s="1"/>
  <c r="W50" i="4" s="1"/>
  <c r="V49" i="4"/>
  <c r="L49" i="4"/>
  <c r="G49" i="4"/>
  <c r="K49" i="4" s="1"/>
  <c r="V48" i="4"/>
  <c r="L48" i="4"/>
  <c r="G48" i="4"/>
  <c r="K48" i="4" s="1"/>
  <c r="V47" i="4"/>
  <c r="L47" i="4"/>
  <c r="L52" i="4" s="1"/>
  <c r="K47" i="4"/>
  <c r="I47" i="4"/>
  <c r="M47" i="4" s="1"/>
  <c r="T43" i="4"/>
  <c r="P43" i="4"/>
  <c r="V42" i="4"/>
  <c r="L42" i="4"/>
  <c r="K42" i="4"/>
  <c r="I42" i="4"/>
  <c r="M42" i="4" s="1"/>
  <c r="R42" i="4" s="1"/>
  <c r="W42" i="4" s="1"/>
  <c r="G42" i="4"/>
  <c r="V41" i="4"/>
  <c r="K41" i="4"/>
  <c r="I41" i="4"/>
  <c r="M41" i="4" s="1"/>
  <c r="R41" i="4" s="1"/>
  <c r="W41" i="4" s="1"/>
  <c r="H41" i="4"/>
  <c r="L41" i="4" s="1"/>
  <c r="G41" i="4"/>
  <c r="V40" i="4"/>
  <c r="L40" i="4"/>
  <c r="K40" i="4"/>
  <c r="I40" i="4"/>
  <c r="M40" i="4" s="1"/>
  <c r="R40" i="4" s="1"/>
  <c r="W40" i="4" s="1"/>
  <c r="G40" i="4"/>
  <c r="V39" i="4"/>
  <c r="L39" i="4"/>
  <c r="K39" i="4"/>
  <c r="I39" i="4"/>
  <c r="M39" i="4" s="1"/>
  <c r="R39" i="4" s="1"/>
  <c r="W39" i="4" s="1"/>
  <c r="G39" i="4"/>
  <c r="V38" i="4"/>
  <c r="L38" i="4"/>
  <c r="K38" i="4"/>
  <c r="I38" i="4"/>
  <c r="M38" i="4" s="1"/>
  <c r="R38" i="4" s="1"/>
  <c r="W38" i="4" s="1"/>
  <c r="G38" i="4"/>
  <c r="V37" i="4"/>
  <c r="L37" i="4"/>
  <c r="K37" i="4"/>
  <c r="I37" i="4"/>
  <c r="M37" i="4" s="1"/>
  <c r="R37" i="4" s="1"/>
  <c r="W37" i="4" s="1"/>
  <c r="V36" i="4"/>
  <c r="L36" i="4"/>
  <c r="K36" i="4"/>
  <c r="I36" i="4"/>
  <c r="M36" i="4" s="1"/>
  <c r="V30" i="4"/>
  <c r="M30" i="4"/>
  <c r="L30" i="4"/>
  <c r="K30" i="4"/>
  <c r="I30" i="4"/>
  <c r="V29" i="4"/>
  <c r="M29" i="4"/>
  <c r="L29" i="4"/>
  <c r="K29" i="4"/>
  <c r="I29" i="4"/>
  <c r="V28" i="4"/>
  <c r="L28" i="4"/>
  <c r="L31" i="4" s="1"/>
  <c r="K28" i="4"/>
  <c r="I28" i="4"/>
  <c r="M28" i="4" s="1"/>
  <c r="T23" i="4"/>
  <c r="V22" i="4"/>
  <c r="M22" i="4"/>
  <c r="P22" i="4" s="1"/>
  <c r="W22" i="4" s="1"/>
  <c r="L22" i="4"/>
  <c r="K22" i="4"/>
  <c r="I22" i="4"/>
  <c r="V21" i="4"/>
  <c r="L21" i="4"/>
  <c r="K21" i="4"/>
  <c r="I21" i="4"/>
  <c r="M21" i="4" s="1"/>
  <c r="P21" i="4" s="1"/>
  <c r="W21" i="4" s="1"/>
  <c r="G21" i="4"/>
  <c r="V20" i="4"/>
  <c r="M20" i="4"/>
  <c r="L20" i="4"/>
  <c r="K20" i="4"/>
  <c r="I20" i="4"/>
  <c r="V19" i="4"/>
  <c r="L19" i="4"/>
  <c r="K19" i="4"/>
  <c r="I19" i="4"/>
  <c r="M19" i="4" s="1"/>
  <c r="V18" i="4"/>
  <c r="L18" i="4"/>
  <c r="L23" i="4" s="1"/>
  <c r="K18" i="4"/>
  <c r="K23" i="4" s="1"/>
  <c r="I18" i="4"/>
  <c r="M18" i="4" s="1"/>
  <c r="G18" i="4"/>
  <c r="T13" i="4"/>
  <c r="V12" i="4"/>
  <c r="L12" i="4"/>
  <c r="K12" i="4"/>
  <c r="I12" i="4"/>
  <c r="M12" i="4" s="1"/>
  <c r="P12" i="4" s="1"/>
  <c r="V11" i="4"/>
  <c r="R11" i="4"/>
  <c r="L11" i="4"/>
  <c r="K11" i="4"/>
  <c r="I11" i="4"/>
  <c r="M11" i="4" s="1"/>
  <c r="P11" i="4" s="1"/>
  <c r="V10" i="4"/>
  <c r="P10" i="4"/>
  <c r="L10" i="4"/>
  <c r="L13" i="4" s="1"/>
  <c r="K10" i="4"/>
  <c r="I10" i="4"/>
  <c r="M10" i="4" s="1"/>
  <c r="L96" i="4" l="1"/>
  <c r="L69" i="4"/>
  <c r="K52" i="4"/>
  <c r="K43" i="4"/>
  <c r="K31" i="4"/>
  <c r="R12" i="4"/>
  <c r="R13" i="4" s="1"/>
  <c r="P13" i="4"/>
  <c r="W10" i="4"/>
  <c r="T30" i="4"/>
  <c r="R30" i="4"/>
  <c r="W30" i="4" s="1"/>
  <c r="R36" i="4"/>
  <c r="M43" i="4"/>
  <c r="M77" i="4"/>
  <c r="P74" i="4"/>
  <c r="M13" i="4"/>
  <c r="R20" i="4"/>
  <c r="P20" i="4"/>
  <c r="W20" i="4" s="1"/>
  <c r="P69" i="4"/>
  <c r="W64" i="4"/>
  <c r="W11" i="4"/>
  <c r="M31" i="4"/>
  <c r="P28" i="4"/>
  <c r="T29" i="4"/>
  <c r="R29" i="4"/>
  <c r="L43" i="4"/>
  <c r="K69" i="4"/>
  <c r="W91" i="4"/>
  <c r="T96" i="4"/>
  <c r="K13" i="4"/>
  <c r="W12" i="4"/>
  <c r="M23" i="4"/>
  <c r="P18" i="4"/>
  <c r="R19" i="4"/>
  <c r="R23" i="4" s="1"/>
  <c r="P19" i="4"/>
  <c r="W19" i="4" s="1"/>
  <c r="R47" i="4"/>
  <c r="T47" i="4"/>
  <c r="T77" i="4"/>
  <c r="P82" i="4"/>
  <c r="I48" i="4"/>
  <c r="M48" i="4" s="1"/>
  <c r="T48" i="4" s="1"/>
  <c r="W48" i="4" s="1"/>
  <c r="I49" i="4"/>
  <c r="M49" i="4" s="1"/>
  <c r="T49" i="4" s="1"/>
  <c r="W49" i="4" s="1"/>
  <c r="I56" i="4"/>
  <c r="M56" i="4" s="1"/>
  <c r="I68" i="4"/>
  <c r="M68" i="4" s="1"/>
  <c r="T68" i="4" s="1"/>
  <c r="W68" i="4" s="1"/>
  <c r="P75" i="4"/>
  <c r="W75" i="4" s="1"/>
  <c r="P76" i="4"/>
  <c r="W76" i="4" s="1"/>
  <c r="I90" i="4"/>
  <c r="M90" i="4" s="1"/>
  <c r="P90" i="4" s="1"/>
  <c r="W90" i="4" s="1"/>
  <c r="R96" i="3"/>
  <c r="V95" i="3"/>
  <c r="M95" i="3"/>
  <c r="T95" i="3" s="1"/>
  <c r="W95" i="3" s="1"/>
  <c r="L95" i="3"/>
  <c r="K95" i="3"/>
  <c r="I95" i="3"/>
  <c r="V94" i="3"/>
  <c r="L94" i="3"/>
  <c r="K94" i="3"/>
  <c r="I94" i="3"/>
  <c r="M94" i="3" s="1"/>
  <c r="T94" i="3" s="1"/>
  <c r="W94" i="3" s="1"/>
  <c r="V93" i="3"/>
  <c r="L93" i="3"/>
  <c r="K93" i="3"/>
  <c r="I93" i="3"/>
  <c r="M93" i="3" s="1"/>
  <c r="T93" i="3" s="1"/>
  <c r="W93" i="3" s="1"/>
  <c r="V92" i="3"/>
  <c r="L92" i="3"/>
  <c r="K92" i="3"/>
  <c r="I92" i="3"/>
  <c r="M92" i="3" s="1"/>
  <c r="T92" i="3" s="1"/>
  <c r="W92" i="3" s="1"/>
  <c r="V91" i="3"/>
  <c r="M91" i="3"/>
  <c r="T91" i="3" s="1"/>
  <c r="L91" i="3"/>
  <c r="K91" i="3"/>
  <c r="I91" i="3"/>
  <c r="V90" i="3"/>
  <c r="L90" i="3"/>
  <c r="I90" i="3"/>
  <c r="M90" i="3" s="1"/>
  <c r="P90" i="3" s="1"/>
  <c r="W90" i="3" s="1"/>
  <c r="G90" i="3"/>
  <c r="K90" i="3" s="1"/>
  <c r="V89" i="3"/>
  <c r="L89" i="3"/>
  <c r="I89" i="3"/>
  <c r="M89" i="3" s="1"/>
  <c r="P89" i="3" s="1"/>
  <c r="W89" i="3" s="1"/>
  <c r="G89" i="3"/>
  <c r="K89" i="3" s="1"/>
  <c r="V88" i="3"/>
  <c r="L88" i="3"/>
  <c r="K88" i="3"/>
  <c r="I88" i="3"/>
  <c r="M88" i="3" s="1"/>
  <c r="P88" i="3" s="1"/>
  <c r="W88" i="3" s="1"/>
  <c r="V87" i="3"/>
  <c r="M87" i="3"/>
  <c r="P87" i="3" s="1"/>
  <c r="W87" i="3" s="1"/>
  <c r="L87" i="3"/>
  <c r="K87" i="3"/>
  <c r="I87" i="3"/>
  <c r="V86" i="3"/>
  <c r="L86" i="3"/>
  <c r="K86" i="3"/>
  <c r="I86" i="3"/>
  <c r="M86" i="3" s="1"/>
  <c r="P86" i="3" s="1"/>
  <c r="W86" i="3" s="1"/>
  <c r="V85" i="3"/>
  <c r="M85" i="3"/>
  <c r="P85" i="3" s="1"/>
  <c r="W85" i="3" s="1"/>
  <c r="L85" i="3"/>
  <c r="K85" i="3"/>
  <c r="I85" i="3"/>
  <c r="V84" i="3"/>
  <c r="L84" i="3"/>
  <c r="I84" i="3"/>
  <c r="M84" i="3" s="1"/>
  <c r="P84" i="3" s="1"/>
  <c r="W84" i="3" s="1"/>
  <c r="G84" i="3"/>
  <c r="K84" i="3" s="1"/>
  <c r="V83" i="3"/>
  <c r="L83" i="3"/>
  <c r="K83" i="3"/>
  <c r="I83" i="3"/>
  <c r="M83" i="3" s="1"/>
  <c r="P83" i="3" s="1"/>
  <c r="W83" i="3" s="1"/>
  <c r="V82" i="3"/>
  <c r="M82" i="3"/>
  <c r="P82" i="3" s="1"/>
  <c r="L82" i="3"/>
  <c r="L96" i="3" s="1"/>
  <c r="K82" i="3"/>
  <c r="K96" i="3" s="1"/>
  <c r="I82" i="3"/>
  <c r="R77" i="3"/>
  <c r="V76" i="3"/>
  <c r="M76" i="3"/>
  <c r="T76" i="3" s="1"/>
  <c r="L76" i="3"/>
  <c r="K76" i="3"/>
  <c r="I76" i="3"/>
  <c r="V75" i="3"/>
  <c r="M75" i="3"/>
  <c r="T75" i="3" s="1"/>
  <c r="T77" i="3" s="1"/>
  <c r="L75" i="3"/>
  <c r="K75" i="3"/>
  <c r="I75" i="3"/>
  <c r="V74" i="3"/>
  <c r="L74" i="3"/>
  <c r="L77" i="3" s="1"/>
  <c r="K74" i="3"/>
  <c r="K77" i="3" s="1"/>
  <c r="I74" i="3"/>
  <c r="M74" i="3" s="1"/>
  <c r="R69" i="3"/>
  <c r="V68" i="3"/>
  <c r="L68" i="3"/>
  <c r="G68" i="3"/>
  <c r="K68" i="3" s="1"/>
  <c r="V67" i="3"/>
  <c r="M67" i="3"/>
  <c r="T67" i="3" s="1"/>
  <c r="W67" i="3" s="1"/>
  <c r="L67" i="3"/>
  <c r="K67" i="3"/>
  <c r="I67" i="3"/>
  <c r="V66" i="3"/>
  <c r="L66" i="3"/>
  <c r="K66" i="3"/>
  <c r="I66" i="3"/>
  <c r="M66" i="3" s="1"/>
  <c r="T66" i="3" s="1"/>
  <c r="W66" i="3" s="1"/>
  <c r="G66" i="3"/>
  <c r="V65" i="3"/>
  <c r="L65" i="3"/>
  <c r="K65" i="3"/>
  <c r="I65" i="3"/>
  <c r="M65" i="3" s="1"/>
  <c r="P65" i="3" s="1"/>
  <c r="W65" i="3" s="1"/>
  <c r="G65" i="3"/>
  <c r="V64" i="3"/>
  <c r="L64" i="3"/>
  <c r="K64" i="3"/>
  <c r="I64" i="3"/>
  <c r="M64" i="3" s="1"/>
  <c r="P64" i="3" s="1"/>
  <c r="G64" i="3"/>
  <c r="V63" i="3"/>
  <c r="L63" i="3"/>
  <c r="K63" i="3"/>
  <c r="I63" i="3"/>
  <c r="M63" i="3" s="1"/>
  <c r="T63" i="3" s="1"/>
  <c r="W63" i="3" s="1"/>
  <c r="G63" i="3"/>
  <c r="V62" i="3"/>
  <c r="L62" i="3"/>
  <c r="K62" i="3"/>
  <c r="I62" i="3"/>
  <c r="M62" i="3" s="1"/>
  <c r="T62" i="3" s="1"/>
  <c r="W62" i="3" s="1"/>
  <c r="G62" i="3"/>
  <c r="V61" i="3"/>
  <c r="L61" i="3"/>
  <c r="K61" i="3"/>
  <c r="I61" i="3"/>
  <c r="M61" i="3" s="1"/>
  <c r="T61" i="3" s="1"/>
  <c r="W61" i="3" s="1"/>
  <c r="V60" i="3"/>
  <c r="L60" i="3"/>
  <c r="K60" i="3"/>
  <c r="G60" i="3"/>
  <c r="I60" i="3" s="1"/>
  <c r="M60" i="3" s="1"/>
  <c r="T60" i="3" s="1"/>
  <c r="W60" i="3" s="1"/>
  <c r="V59" i="3"/>
  <c r="M59" i="3"/>
  <c r="T59" i="3" s="1"/>
  <c r="W59" i="3" s="1"/>
  <c r="L59" i="3"/>
  <c r="K59" i="3"/>
  <c r="I59" i="3"/>
  <c r="V58" i="3"/>
  <c r="L58" i="3"/>
  <c r="I58" i="3"/>
  <c r="M58" i="3" s="1"/>
  <c r="T58" i="3" s="1"/>
  <c r="W58" i="3" s="1"/>
  <c r="G58" i="3"/>
  <c r="K58" i="3" s="1"/>
  <c r="V57" i="3"/>
  <c r="L57" i="3"/>
  <c r="K57" i="3"/>
  <c r="I57" i="3"/>
  <c r="M57" i="3" s="1"/>
  <c r="T57" i="3" s="1"/>
  <c r="W57" i="3" s="1"/>
  <c r="V56" i="3"/>
  <c r="L56" i="3"/>
  <c r="L69" i="3" s="1"/>
  <c r="G56" i="3"/>
  <c r="K56" i="3" s="1"/>
  <c r="P52" i="3"/>
  <c r="V51" i="3"/>
  <c r="L51" i="3"/>
  <c r="K51" i="3"/>
  <c r="I51" i="3"/>
  <c r="M51" i="3" s="1"/>
  <c r="T51" i="3" s="1"/>
  <c r="W51" i="3" s="1"/>
  <c r="V50" i="3"/>
  <c r="L50" i="3"/>
  <c r="K50" i="3"/>
  <c r="I50" i="3"/>
  <c r="M50" i="3" s="1"/>
  <c r="T50" i="3" s="1"/>
  <c r="W50" i="3" s="1"/>
  <c r="V49" i="3"/>
  <c r="L49" i="3"/>
  <c r="G49" i="3"/>
  <c r="K49" i="3" s="1"/>
  <c r="V48" i="3"/>
  <c r="L48" i="3"/>
  <c r="G48" i="3"/>
  <c r="K48" i="3" s="1"/>
  <c r="V47" i="3"/>
  <c r="L47" i="3"/>
  <c r="L52" i="3" s="1"/>
  <c r="K47" i="3"/>
  <c r="I47" i="3"/>
  <c r="M47" i="3" s="1"/>
  <c r="T43" i="3"/>
  <c r="P43" i="3"/>
  <c r="V42" i="3"/>
  <c r="L42" i="3"/>
  <c r="K42" i="3"/>
  <c r="G42" i="3"/>
  <c r="I42" i="3" s="1"/>
  <c r="M42" i="3" s="1"/>
  <c r="R42" i="3" s="1"/>
  <c r="W42" i="3" s="1"/>
  <c r="V41" i="3"/>
  <c r="K41" i="3"/>
  <c r="H41" i="3"/>
  <c r="L41" i="3" s="1"/>
  <c r="G41" i="3"/>
  <c r="I41" i="3" s="1"/>
  <c r="M41" i="3" s="1"/>
  <c r="R41" i="3" s="1"/>
  <c r="W41" i="3" s="1"/>
  <c r="V40" i="3"/>
  <c r="L40" i="3"/>
  <c r="K40" i="3"/>
  <c r="I40" i="3"/>
  <c r="M40" i="3" s="1"/>
  <c r="R40" i="3" s="1"/>
  <c r="W40" i="3" s="1"/>
  <c r="G40" i="3"/>
  <c r="V39" i="3"/>
  <c r="L39" i="3"/>
  <c r="K39" i="3"/>
  <c r="I39" i="3"/>
  <c r="M39" i="3" s="1"/>
  <c r="R39" i="3" s="1"/>
  <c r="W39" i="3" s="1"/>
  <c r="G39" i="3"/>
  <c r="V38" i="3"/>
  <c r="L38" i="3"/>
  <c r="K38" i="3"/>
  <c r="I38" i="3"/>
  <c r="M38" i="3" s="1"/>
  <c r="R38" i="3" s="1"/>
  <c r="W38" i="3" s="1"/>
  <c r="G38" i="3"/>
  <c r="V37" i="3"/>
  <c r="L37" i="3"/>
  <c r="K37" i="3"/>
  <c r="I37" i="3"/>
  <c r="M37" i="3" s="1"/>
  <c r="R37" i="3" s="1"/>
  <c r="W37" i="3" s="1"/>
  <c r="V36" i="3"/>
  <c r="L36" i="3"/>
  <c r="L43" i="3" s="1"/>
  <c r="K36" i="3"/>
  <c r="K43" i="3" s="1"/>
  <c r="I36" i="3"/>
  <c r="M36" i="3" s="1"/>
  <c r="V30" i="3"/>
  <c r="M30" i="3"/>
  <c r="T30" i="3" s="1"/>
  <c r="L30" i="3"/>
  <c r="K30" i="3"/>
  <c r="I30" i="3"/>
  <c r="V29" i="3"/>
  <c r="M29" i="3"/>
  <c r="T29" i="3" s="1"/>
  <c r="T31" i="3" s="1"/>
  <c r="L29" i="3"/>
  <c r="K29" i="3"/>
  <c r="I29" i="3"/>
  <c r="V28" i="3"/>
  <c r="M28" i="3"/>
  <c r="M31" i="3" s="1"/>
  <c r="L28" i="3"/>
  <c r="L31" i="3" s="1"/>
  <c r="K28" i="3"/>
  <c r="K31" i="3" s="1"/>
  <c r="I28" i="3"/>
  <c r="T23" i="3"/>
  <c r="V22" i="3"/>
  <c r="M22" i="3"/>
  <c r="P22" i="3" s="1"/>
  <c r="W22" i="3" s="1"/>
  <c r="L22" i="3"/>
  <c r="K22" i="3"/>
  <c r="I22" i="3"/>
  <c r="V21" i="3"/>
  <c r="L21" i="3"/>
  <c r="G21" i="3"/>
  <c r="K21" i="3" s="1"/>
  <c r="V20" i="3"/>
  <c r="M20" i="3"/>
  <c r="L20" i="3"/>
  <c r="K20" i="3"/>
  <c r="I20" i="3"/>
  <c r="V19" i="3"/>
  <c r="M19" i="3"/>
  <c r="L19" i="3"/>
  <c r="K19" i="3"/>
  <c r="I19" i="3"/>
  <c r="V18" i="3"/>
  <c r="L18" i="3"/>
  <c r="L23" i="3" s="1"/>
  <c r="G18" i="3"/>
  <c r="K18" i="3" s="1"/>
  <c r="K23" i="3" s="1"/>
  <c r="T13" i="3"/>
  <c r="L13" i="3"/>
  <c r="V12" i="3"/>
  <c r="R12" i="3"/>
  <c r="L12" i="3"/>
  <c r="K12" i="3"/>
  <c r="I12" i="3"/>
  <c r="M12" i="3" s="1"/>
  <c r="P12" i="3" s="1"/>
  <c r="V11" i="3"/>
  <c r="L11" i="3"/>
  <c r="K11" i="3"/>
  <c r="I11" i="3"/>
  <c r="M11" i="3" s="1"/>
  <c r="P11" i="3" s="1"/>
  <c r="V10" i="3"/>
  <c r="P10" i="3"/>
  <c r="L10" i="3"/>
  <c r="K10" i="3"/>
  <c r="K13" i="3" s="1"/>
  <c r="I10" i="3"/>
  <c r="M10" i="3" s="1"/>
  <c r="T31" i="4" l="1"/>
  <c r="M69" i="4"/>
  <c r="T56" i="4"/>
  <c r="P96" i="4"/>
  <c r="W82" i="4"/>
  <c r="W47" i="4"/>
  <c r="R52" i="4"/>
  <c r="R43" i="4"/>
  <c r="W36" i="4"/>
  <c r="P31" i="4"/>
  <c r="W28" i="4"/>
  <c r="P77" i="4"/>
  <c r="W74" i="4"/>
  <c r="M52" i="4"/>
  <c r="M96" i="4"/>
  <c r="T52" i="4"/>
  <c r="P23" i="4"/>
  <c r="W18" i="4"/>
  <c r="R31" i="4"/>
  <c r="W29" i="4"/>
  <c r="T47" i="3"/>
  <c r="T52" i="3" s="1"/>
  <c r="M52" i="3"/>
  <c r="R47" i="3"/>
  <c r="K52" i="3"/>
  <c r="P13" i="3"/>
  <c r="W10" i="3"/>
  <c r="P69" i="3"/>
  <c r="W64" i="3"/>
  <c r="W91" i="3"/>
  <c r="T96" i="3"/>
  <c r="M13" i="3"/>
  <c r="R11" i="3"/>
  <c r="R19" i="3"/>
  <c r="P19" i="3"/>
  <c r="W19" i="3" s="1"/>
  <c r="R36" i="3"/>
  <c r="M43" i="3"/>
  <c r="K69" i="3"/>
  <c r="P96" i="3"/>
  <c r="W82" i="3"/>
  <c r="W12" i="3"/>
  <c r="R20" i="3"/>
  <c r="P20" i="3"/>
  <c r="W20" i="3" s="1"/>
  <c r="M77" i="3"/>
  <c r="P74" i="3"/>
  <c r="R29" i="3"/>
  <c r="R30" i="3"/>
  <c r="W30" i="3" s="1"/>
  <c r="I48" i="3"/>
  <c r="M48" i="3" s="1"/>
  <c r="T48" i="3" s="1"/>
  <c r="W48" i="3" s="1"/>
  <c r="I49" i="3"/>
  <c r="M49" i="3" s="1"/>
  <c r="T49" i="3" s="1"/>
  <c r="W49" i="3" s="1"/>
  <c r="I56" i="3"/>
  <c r="M56" i="3" s="1"/>
  <c r="I68" i="3"/>
  <c r="M68" i="3" s="1"/>
  <c r="T68" i="3" s="1"/>
  <c r="W68" i="3" s="1"/>
  <c r="P75" i="3"/>
  <c r="W75" i="3" s="1"/>
  <c r="P76" i="3"/>
  <c r="W76" i="3" s="1"/>
  <c r="I18" i="3"/>
  <c r="M18" i="3" s="1"/>
  <c r="I21" i="3"/>
  <c r="M21" i="3" s="1"/>
  <c r="P21" i="3" s="1"/>
  <c r="W21" i="3" s="1"/>
  <c r="P28" i="3"/>
  <c r="M96" i="3"/>
  <c r="S100" i="1"/>
  <c r="Q100" i="1"/>
  <c r="O100" i="1"/>
  <c r="S98" i="1"/>
  <c r="Q98" i="1"/>
  <c r="O98" i="1"/>
  <c r="T98" i="1"/>
  <c r="R98" i="1"/>
  <c r="R100" i="1" s="1"/>
  <c r="P98" i="1"/>
  <c r="P100" i="1"/>
  <c r="T77" i="1"/>
  <c r="R77" i="1"/>
  <c r="P77" i="1"/>
  <c r="T69" i="1"/>
  <c r="R69" i="1"/>
  <c r="P69" i="1"/>
  <c r="T52" i="1"/>
  <c r="R52" i="1"/>
  <c r="P52" i="1"/>
  <c r="T43" i="1"/>
  <c r="R43" i="1"/>
  <c r="P43" i="1"/>
  <c r="T31" i="1"/>
  <c r="R31" i="1"/>
  <c r="P31" i="1"/>
  <c r="T23" i="1"/>
  <c r="R23" i="1"/>
  <c r="P23" i="1"/>
  <c r="T13" i="1"/>
  <c r="R13" i="1"/>
  <c r="P13" i="1"/>
  <c r="T96" i="1"/>
  <c r="R96" i="1"/>
  <c r="P96" i="1"/>
  <c r="M98" i="4" l="1"/>
  <c r="P98" i="4"/>
  <c r="P100" i="4" s="1"/>
  <c r="O100" i="4" s="1"/>
  <c r="R98" i="4"/>
  <c r="W56" i="4"/>
  <c r="W98" i="4" s="1"/>
  <c r="T69" i="4"/>
  <c r="T98" i="4" s="1"/>
  <c r="R43" i="3"/>
  <c r="W36" i="3"/>
  <c r="R13" i="3"/>
  <c r="M23" i="3"/>
  <c r="P18" i="3"/>
  <c r="M69" i="3"/>
  <c r="M98" i="3" s="1"/>
  <c r="T56" i="3"/>
  <c r="R31" i="3"/>
  <c r="W29" i="3"/>
  <c r="P77" i="3"/>
  <c r="W74" i="3"/>
  <c r="R23" i="3"/>
  <c r="P31" i="3"/>
  <c r="W28" i="3"/>
  <c r="W11" i="3"/>
  <c r="W47" i="3"/>
  <c r="R52" i="3"/>
  <c r="R98" i="3" s="1"/>
  <c r="T100" i="1"/>
  <c r="O98" i="4" l="1"/>
  <c r="S98" i="4"/>
  <c r="R100" i="4"/>
  <c r="Q100" i="4" s="1"/>
  <c r="Q98" i="4"/>
  <c r="Q98" i="3"/>
  <c r="P23" i="3"/>
  <c r="W18" i="3"/>
  <c r="W98" i="3" s="1"/>
  <c r="P98" i="3"/>
  <c r="W56" i="3"/>
  <c r="T69" i="3"/>
  <c r="T98" i="3" s="1"/>
  <c r="I12" i="2"/>
  <c r="J12" i="2"/>
  <c r="J16" i="2" s="1"/>
  <c r="K12" i="2"/>
  <c r="I13" i="2"/>
  <c r="J13" i="2"/>
  <c r="K13" i="2"/>
  <c r="J11" i="2"/>
  <c r="K11" i="2"/>
  <c r="I11" i="2"/>
  <c r="J8" i="2"/>
  <c r="K8" i="2"/>
  <c r="I8" i="2"/>
  <c r="F13" i="2"/>
  <c r="H13" i="2" s="1"/>
  <c r="F12" i="2"/>
  <c r="H12" i="2" s="1"/>
  <c r="H8" i="2"/>
  <c r="F11" i="2"/>
  <c r="H11" i="2" s="1"/>
  <c r="T100" i="4" l="1"/>
  <c r="S100" i="4" s="1"/>
  <c r="P100" i="3"/>
  <c r="O98" i="3"/>
  <c r="S98" i="3"/>
  <c r="I16" i="2"/>
  <c r="K16" i="2"/>
  <c r="B37" i="2"/>
  <c r="E36" i="2" s="1"/>
  <c r="H36" i="2" s="1"/>
  <c r="E32" i="2"/>
  <c r="H32" i="2" s="1"/>
  <c r="E28" i="2"/>
  <c r="H28" i="2" s="1"/>
  <c r="O100" i="3" l="1"/>
  <c r="R100" i="3"/>
  <c r="G60" i="1"/>
  <c r="I60" i="1" s="1"/>
  <c r="M60" i="1" s="1"/>
  <c r="W95" i="1"/>
  <c r="W94" i="1"/>
  <c r="W90" i="1"/>
  <c r="W89" i="1"/>
  <c r="W88" i="1"/>
  <c r="W87" i="1"/>
  <c r="W86" i="1"/>
  <c r="W85" i="1"/>
  <c r="W84" i="1"/>
  <c r="W83" i="1"/>
  <c r="W82" i="1"/>
  <c r="W76" i="1"/>
  <c r="W75" i="1"/>
  <c r="W74" i="1"/>
  <c r="W68" i="1"/>
  <c r="W67" i="1"/>
  <c r="W66" i="1"/>
  <c r="W65" i="1"/>
  <c r="W64" i="1"/>
  <c r="W63" i="1"/>
  <c r="W62" i="1"/>
  <c r="W59" i="1"/>
  <c r="W58" i="1"/>
  <c r="W57" i="1"/>
  <c r="W56" i="1"/>
  <c r="W51" i="1"/>
  <c r="W50" i="1"/>
  <c r="W49" i="1"/>
  <c r="W48" i="1"/>
  <c r="W42" i="1"/>
  <c r="W41" i="1"/>
  <c r="W40" i="1"/>
  <c r="W39" i="1"/>
  <c r="W38" i="1"/>
  <c r="W37" i="1"/>
  <c r="W36" i="1"/>
  <c r="W30" i="1"/>
  <c r="W29" i="1"/>
  <c r="W28" i="1"/>
  <c r="W22" i="1"/>
  <c r="W21" i="1"/>
  <c r="W20" i="1"/>
  <c r="W19" i="1"/>
  <c r="W18" i="1"/>
  <c r="W12" i="1"/>
  <c r="W11" i="1"/>
  <c r="G90" i="1"/>
  <c r="K90" i="1" s="1"/>
  <c r="G89" i="1"/>
  <c r="K89" i="1" s="1"/>
  <c r="G84" i="1"/>
  <c r="K84" i="1" s="1"/>
  <c r="M74" i="1"/>
  <c r="L74" i="1"/>
  <c r="K74" i="1"/>
  <c r="I74" i="1"/>
  <c r="G68" i="1"/>
  <c r="K68" i="1" s="1"/>
  <c r="G66" i="1"/>
  <c r="K66" i="1" s="1"/>
  <c r="G65" i="1"/>
  <c r="G64" i="1"/>
  <c r="G63" i="1"/>
  <c r="K63" i="1" s="1"/>
  <c r="G62" i="1"/>
  <c r="G58" i="1"/>
  <c r="K58" i="1" s="1"/>
  <c r="G56" i="1"/>
  <c r="V51" i="1"/>
  <c r="M51" i="1"/>
  <c r="T51" i="1" s="1"/>
  <c r="L51" i="1"/>
  <c r="K51" i="1"/>
  <c r="I51" i="1"/>
  <c r="G49" i="1"/>
  <c r="I49" i="1" s="1"/>
  <c r="M49" i="1" s="1"/>
  <c r="G48" i="1"/>
  <c r="G42" i="1"/>
  <c r="I42" i="1" s="1"/>
  <c r="M42" i="1" s="1"/>
  <c r="H41" i="1"/>
  <c r="G41" i="1"/>
  <c r="K41" i="1" s="1"/>
  <c r="G40" i="1"/>
  <c r="K40" i="1" s="1"/>
  <c r="G39" i="1"/>
  <c r="K39" i="1"/>
  <c r="G38" i="1"/>
  <c r="K38" i="1" s="1"/>
  <c r="L95" i="1"/>
  <c r="K95" i="1"/>
  <c r="I95" i="1"/>
  <c r="M95" i="1" s="1"/>
  <c r="L94" i="1"/>
  <c r="K94" i="1"/>
  <c r="I94" i="1"/>
  <c r="M94" i="1" s="1"/>
  <c r="L93" i="1"/>
  <c r="K93" i="1"/>
  <c r="I93" i="1"/>
  <c r="M93" i="1" s="1"/>
  <c r="L92" i="1"/>
  <c r="K92" i="1"/>
  <c r="I92" i="1"/>
  <c r="M92" i="1" s="1"/>
  <c r="L91" i="1"/>
  <c r="K91" i="1"/>
  <c r="I91" i="1"/>
  <c r="M91" i="1" s="1"/>
  <c r="L90" i="1"/>
  <c r="L89" i="1"/>
  <c r="I89" i="1"/>
  <c r="M89" i="1" s="1"/>
  <c r="L88" i="1"/>
  <c r="K88" i="1"/>
  <c r="I88" i="1"/>
  <c r="M88" i="1" s="1"/>
  <c r="L87" i="1"/>
  <c r="K87" i="1"/>
  <c r="I87" i="1"/>
  <c r="M87" i="1" s="1"/>
  <c r="L86" i="1"/>
  <c r="K86" i="1"/>
  <c r="I86" i="1"/>
  <c r="M86" i="1" s="1"/>
  <c r="L85" i="1"/>
  <c r="K85" i="1"/>
  <c r="I85" i="1"/>
  <c r="M85" i="1" s="1"/>
  <c r="L84" i="1"/>
  <c r="L83" i="1"/>
  <c r="K83" i="1"/>
  <c r="I83" i="1"/>
  <c r="M83" i="1" s="1"/>
  <c r="L82" i="1"/>
  <c r="K82" i="1"/>
  <c r="I82" i="1"/>
  <c r="M82" i="1" s="1"/>
  <c r="L76" i="1"/>
  <c r="K76" i="1"/>
  <c r="I76" i="1"/>
  <c r="M76" i="1" s="1"/>
  <c r="L75" i="1"/>
  <c r="K75" i="1"/>
  <c r="I75" i="1"/>
  <c r="M75" i="1" s="1"/>
  <c r="L68" i="1"/>
  <c r="L67" i="1"/>
  <c r="K67" i="1"/>
  <c r="I67" i="1"/>
  <c r="M67" i="1" s="1"/>
  <c r="L66" i="1"/>
  <c r="I66" i="1"/>
  <c r="M66" i="1" s="1"/>
  <c r="L65" i="1"/>
  <c r="K65" i="1"/>
  <c r="I65" i="1"/>
  <c r="M65" i="1" s="1"/>
  <c r="L64" i="1"/>
  <c r="K64" i="1"/>
  <c r="I64" i="1"/>
  <c r="M64" i="1" s="1"/>
  <c r="L63" i="1"/>
  <c r="L62" i="1"/>
  <c r="K62" i="1"/>
  <c r="I62" i="1"/>
  <c r="M62" i="1" s="1"/>
  <c r="L61" i="1"/>
  <c r="K61" i="1"/>
  <c r="I61" i="1"/>
  <c r="M61" i="1" s="1"/>
  <c r="L60" i="1"/>
  <c r="K60" i="1"/>
  <c r="L59" i="1"/>
  <c r="K59" i="1"/>
  <c r="I59" i="1"/>
  <c r="M59" i="1" s="1"/>
  <c r="L58" i="1"/>
  <c r="I58" i="1"/>
  <c r="M58" i="1" s="1"/>
  <c r="L57" i="1"/>
  <c r="K57" i="1"/>
  <c r="I57" i="1"/>
  <c r="M57" i="1" s="1"/>
  <c r="L56" i="1"/>
  <c r="K56" i="1"/>
  <c r="I56" i="1"/>
  <c r="M56" i="1" s="1"/>
  <c r="L50" i="1"/>
  <c r="K50" i="1"/>
  <c r="I50" i="1"/>
  <c r="M50" i="1" s="1"/>
  <c r="L49" i="1"/>
  <c r="L48" i="1"/>
  <c r="K48" i="1"/>
  <c r="I48" i="1"/>
  <c r="M48" i="1" s="1"/>
  <c r="L47" i="1"/>
  <c r="L52" i="1" s="1"/>
  <c r="K47" i="1"/>
  <c r="K52" i="1" s="1"/>
  <c r="I47" i="1"/>
  <c r="M47" i="1" s="1"/>
  <c r="M52" i="1" s="1"/>
  <c r="L42" i="1"/>
  <c r="K42" i="1"/>
  <c r="L41" i="1"/>
  <c r="L40" i="1"/>
  <c r="L39" i="1"/>
  <c r="I39" i="1"/>
  <c r="M39" i="1" s="1"/>
  <c r="L38" i="1"/>
  <c r="M37" i="1"/>
  <c r="L37" i="1"/>
  <c r="K37" i="1"/>
  <c r="I37" i="1"/>
  <c r="M36" i="1"/>
  <c r="L36" i="1"/>
  <c r="K36" i="1"/>
  <c r="I36" i="1"/>
  <c r="L30" i="1"/>
  <c r="K30" i="1"/>
  <c r="I30" i="1"/>
  <c r="M30" i="1" s="1"/>
  <c r="L29" i="1"/>
  <c r="L31" i="1" s="1"/>
  <c r="K29" i="1"/>
  <c r="I29" i="1"/>
  <c r="M29" i="1" s="1"/>
  <c r="L28" i="1"/>
  <c r="K28" i="1"/>
  <c r="I28" i="1"/>
  <c r="M28" i="1" s="1"/>
  <c r="G21" i="1"/>
  <c r="I21" i="1" s="1"/>
  <c r="M21" i="1" s="1"/>
  <c r="G18" i="1"/>
  <c r="K18" i="1" s="1"/>
  <c r="M22" i="1"/>
  <c r="L22" i="1"/>
  <c r="K22" i="1"/>
  <c r="I22" i="1"/>
  <c r="L21" i="1"/>
  <c r="M20" i="1"/>
  <c r="L20" i="1"/>
  <c r="K20" i="1"/>
  <c r="I20" i="1"/>
  <c r="L19" i="1"/>
  <c r="K19" i="1"/>
  <c r="I19" i="1"/>
  <c r="M19" i="1" s="1"/>
  <c r="L18" i="1"/>
  <c r="K11" i="1"/>
  <c r="K13" i="1" s="1"/>
  <c r="L11" i="1"/>
  <c r="L13" i="1" s="1"/>
  <c r="M11" i="1"/>
  <c r="K12" i="1"/>
  <c r="L12" i="1"/>
  <c r="M12" i="1"/>
  <c r="L10" i="1"/>
  <c r="M10" i="1"/>
  <c r="K10" i="1"/>
  <c r="I11" i="1"/>
  <c r="I12" i="1"/>
  <c r="I10" i="1"/>
  <c r="Q100" i="3" l="1"/>
  <c r="T100" i="3"/>
  <c r="S100" i="3" s="1"/>
  <c r="I90" i="1"/>
  <c r="M90" i="1" s="1"/>
  <c r="P90" i="1" s="1"/>
  <c r="I84" i="1"/>
  <c r="M84" i="1" s="1"/>
  <c r="K77" i="1"/>
  <c r="M77" i="1"/>
  <c r="L77" i="1"/>
  <c r="I68" i="1"/>
  <c r="M68" i="1" s="1"/>
  <c r="T68" i="1" s="1"/>
  <c r="I63" i="1"/>
  <c r="M63" i="1" s="1"/>
  <c r="T63" i="1" s="1"/>
  <c r="L69" i="1"/>
  <c r="K69" i="1"/>
  <c r="M31" i="1"/>
  <c r="K31" i="1"/>
  <c r="K49" i="1"/>
  <c r="K96" i="1"/>
  <c r="L96" i="1"/>
  <c r="I41" i="1"/>
  <c r="M41" i="1" s="1"/>
  <c r="I40" i="1"/>
  <c r="M40" i="1" s="1"/>
  <c r="R40" i="1" s="1"/>
  <c r="I38" i="1"/>
  <c r="M38" i="1" s="1"/>
  <c r="R38" i="1" s="1"/>
  <c r="K43" i="1"/>
  <c r="L43" i="1"/>
  <c r="K21" i="1"/>
  <c r="K23" i="1" s="1"/>
  <c r="L23" i="1"/>
  <c r="I18" i="1"/>
  <c r="M18" i="1" s="1"/>
  <c r="M23" i="1" s="1"/>
  <c r="V95" i="1"/>
  <c r="T95" i="1"/>
  <c r="V94" i="1"/>
  <c r="T94" i="1"/>
  <c r="V93" i="1"/>
  <c r="T93" i="1"/>
  <c r="W93" i="1" s="1"/>
  <c r="V92" i="1"/>
  <c r="T92" i="1"/>
  <c r="W92" i="1" s="1"/>
  <c r="V91" i="1"/>
  <c r="T91" i="1"/>
  <c r="W91" i="1" s="1"/>
  <c r="V90" i="1"/>
  <c r="V89" i="1"/>
  <c r="P89" i="1"/>
  <c r="V88" i="1"/>
  <c r="P88" i="1"/>
  <c r="V87" i="1"/>
  <c r="P87" i="1"/>
  <c r="V86" i="1"/>
  <c r="P86" i="1"/>
  <c r="V85" i="1"/>
  <c r="P85" i="1"/>
  <c r="V84" i="1"/>
  <c r="P84" i="1"/>
  <c r="V83" i="1"/>
  <c r="P83" i="1"/>
  <c r="V82" i="1"/>
  <c r="P82" i="1"/>
  <c r="V76" i="1"/>
  <c r="T76" i="1"/>
  <c r="P76" i="1"/>
  <c r="V75" i="1"/>
  <c r="T75" i="1"/>
  <c r="P75" i="1"/>
  <c r="V74" i="1"/>
  <c r="P74" i="1"/>
  <c r="V68" i="1"/>
  <c r="V67" i="1"/>
  <c r="T67" i="1"/>
  <c r="V66" i="1"/>
  <c r="T66" i="1"/>
  <c r="V65" i="1"/>
  <c r="P65" i="1"/>
  <c r="V64" i="1"/>
  <c r="P64" i="1"/>
  <c r="V63" i="1"/>
  <c r="V62" i="1"/>
  <c r="T62" i="1"/>
  <c r="V61" i="1"/>
  <c r="T61" i="1"/>
  <c r="W61" i="1" s="1"/>
  <c r="V60" i="1"/>
  <c r="T60" i="1"/>
  <c r="W60" i="1" s="1"/>
  <c r="V59" i="1"/>
  <c r="T59" i="1"/>
  <c r="V58" i="1"/>
  <c r="T58" i="1"/>
  <c r="V57" i="1"/>
  <c r="T57" i="1"/>
  <c r="V56" i="1"/>
  <c r="T56" i="1"/>
  <c r="V50" i="1"/>
  <c r="T50" i="1"/>
  <c r="V49" i="1"/>
  <c r="T49" i="1"/>
  <c r="V48" i="1"/>
  <c r="T48" i="1"/>
  <c r="V47" i="1"/>
  <c r="T47" i="1"/>
  <c r="R47" i="1"/>
  <c r="V42" i="1"/>
  <c r="R42" i="1"/>
  <c r="V41" i="1"/>
  <c r="R41" i="1"/>
  <c r="V40" i="1"/>
  <c r="V39" i="1"/>
  <c r="R39" i="1"/>
  <c r="V38" i="1"/>
  <c r="V37" i="1"/>
  <c r="R37" i="1"/>
  <c r="V36" i="1"/>
  <c r="R36" i="1"/>
  <c r="V30" i="1"/>
  <c r="T30" i="1"/>
  <c r="R30" i="1"/>
  <c r="V29" i="1"/>
  <c r="T29" i="1"/>
  <c r="R29" i="1"/>
  <c r="V28" i="1"/>
  <c r="P28" i="1"/>
  <c r="V22" i="1"/>
  <c r="V21" i="1"/>
  <c r="V20" i="1"/>
  <c r="V19" i="1"/>
  <c r="V18" i="1"/>
  <c r="V12" i="1"/>
  <c r="V11" i="1"/>
  <c r="V10" i="1"/>
  <c r="P10" i="1"/>
  <c r="W10" i="1" s="1"/>
  <c r="W47" i="1" l="1"/>
  <c r="M96" i="1"/>
  <c r="M69" i="1"/>
  <c r="M43" i="1"/>
  <c r="P22" i="1"/>
  <c r="P21" i="1"/>
  <c r="P18" i="1"/>
  <c r="P19" i="1" l="1"/>
  <c r="R19" i="1"/>
  <c r="R20" i="1"/>
  <c r="P20" i="1"/>
  <c r="P12" i="1"/>
  <c r="R12" i="1"/>
  <c r="P11" i="1"/>
  <c r="R11" i="1"/>
  <c r="M13" i="1"/>
  <c r="M98" i="1" l="1"/>
  <c r="W98" i="1" l="1"/>
</calcChain>
</file>

<file path=xl/sharedStrings.xml><?xml version="1.0" encoding="utf-8"?>
<sst xmlns="http://schemas.openxmlformats.org/spreadsheetml/2006/main" count="1299" uniqueCount="216">
  <si>
    <t>QUANTITATIVO MATERIAL CANTEIRO DE OBRA - CAMPO GRANDE - MS</t>
  </si>
  <si>
    <t>1 - CANTEIRO DE OBRA</t>
  </si>
  <si>
    <t>LISTA</t>
  </si>
  <si>
    <t>ITEM</t>
  </si>
  <si>
    <t>CÓDIGO</t>
  </si>
  <si>
    <t>MATERIAL/SERVIÇO</t>
  </si>
  <si>
    <t>QTDE.</t>
  </si>
  <si>
    <t>UN</t>
  </si>
  <si>
    <t>SINAPI</t>
  </si>
  <si>
    <t>1.1</t>
  </si>
  <si>
    <t>1.2</t>
  </si>
  <si>
    <t>1.3</t>
  </si>
  <si>
    <t>1.4</t>
  </si>
  <si>
    <t>1.5</t>
  </si>
  <si>
    <t>GERENCIAMENTO DE OBRA  - CANTEIRO - CAMPO GRANDE - MS</t>
  </si>
  <si>
    <t>Gerenciamento de Obra</t>
  </si>
  <si>
    <t>CREA</t>
  </si>
  <si>
    <t>-</t>
  </si>
  <si>
    <t>ART EXECUÇÃO</t>
  </si>
  <si>
    <t>m</t>
  </si>
  <si>
    <t>Eng. Civil acompanhamento de obra / Horas por dia = 4h / Dia do mês = 5 dias / Total de horas = 20 horas</t>
  </si>
  <si>
    <t>Encarregado Geral - Mestre de Obra / Horas por dia = 8h / Dia do mês = 5 dias / Total de horas = 40 horas</t>
  </si>
  <si>
    <r>
      <rPr>
        <sz val="11"/>
        <rFont val="Calibri"/>
        <family val="2"/>
        <scheme val="minor"/>
      </rPr>
      <t>PLACA DE OBRA EM CHAPA DE ACO GALVANIZADO</t>
    </r>
  </si>
  <si>
    <r>
      <rPr>
        <sz val="11"/>
        <rFont val="Calibri"/>
        <family val="2"/>
        <scheme val="minor"/>
      </rPr>
      <t>M2</t>
    </r>
  </si>
  <si>
    <r>
      <rPr>
        <sz val="11"/>
        <rFont val="Calibri"/>
        <family val="2"/>
        <scheme val="minor"/>
      </rPr>
      <t>MES</t>
    </r>
  </si>
  <si>
    <r>
      <rPr>
        <sz val="11"/>
        <rFont val="Calibri"/>
        <family val="2"/>
        <scheme val="minor"/>
      </rPr>
      <t>TAPUME COM TELHA METÁLICA. AF_05/2018</t>
    </r>
  </si>
  <si>
    <r>
      <rPr>
        <sz val="11"/>
        <rFont val="Calibri"/>
        <family val="2"/>
        <scheme val="minor"/>
      </rPr>
      <t>LOCACAO CONVENCIONAL DE OBRA, ATRAVÉS DE GABARITO DE TABUAS CORRIDAS PONTALETADAS, COM REAPROVEITAMENTO DE 10 VEZES.</t>
    </r>
  </si>
  <si>
    <t>PLANILHA DE QUANTITATIVOS E CUSTOS UNITÁRIOS (PQCU) - CAMPO GRANDE - MS</t>
  </si>
  <si>
    <t>Cronograma Físico-financeiro - CAMPO GRANDE - MS</t>
  </si>
  <si>
    <t>1º Mês</t>
  </si>
  <si>
    <t>2º Mês</t>
  </si>
  <si>
    <t>%</t>
  </si>
  <si>
    <t>R$</t>
  </si>
  <si>
    <t>C. UNIT. MAT.</t>
  </si>
  <si>
    <t>C. UNIT. MO.</t>
  </si>
  <si>
    <t>C. UNIT. TOTAL</t>
  </si>
  <si>
    <t>BDI (%)</t>
  </si>
  <si>
    <t>PREÇO UNIT. MAT.</t>
  </si>
  <si>
    <t>PREÇO UNIT. MO.</t>
  </si>
  <si>
    <t>PREÇO TOTAL</t>
  </si>
  <si>
    <t>SUBTOTAL</t>
  </si>
  <si>
    <t>3º Mês</t>
  </si>
  <si>
    <t>TOTAL</t>
  </si>
  <si>
    <t>Gerenciamento de OBRAS CIVIS</t>
  </si>
  <si>
    <t>GERENCIAMENTO DE OBRA  - FOTOVOLTAICO - CAMPO GRANDE - MS</t>
  </si>
  <si>
    <t>QUANTITATIVO MATERIAL OBRAS CIVIS - CAMPO GRANDE - MS</t>
  </si>
  <si>
    <t>1 - FUNDAÇÃO</t>
  </si>
  <si>
    <t>KG</t>
  </si>
  <si>
    <t>ESTACA ESCAVADA MECANICAMENTE, SEM FLUIDO ESTABILIZANTE, COM 25 CM DE DIÂMETRO, ATÉ 9 M DE COMPRIMENTO, CONCRETO LANÇADO MANUALMENTE (EXCLUSIVE MOBILIZAÇÃO E DESMOBILIZAÇÃO). AF_02/2015</t>
  </si>
  <si>
    <t>M</t>
  </si>
  <si>
    <t>FABRICAÇÃO DE FÔRMA PARA VIGAS, COM MADEIRA SERRADA, E = 25 MM. AF_12/2015</t>
  </si>
  <si>
    <t>M2</t>
  </si>
  <si>
    <t>CONCRETO FCK = 25MPA, TRAÇO 1:2,3:2,7 (CIMENTO/ AREIA MÉDIA/ BRITA 1) - PREPARO MECÂNICO COM BETONEIRA 400 L. AF_07/2016</t>
  </si>
  <si>
    <t>M3</t>
  </si>
  <si>
    <t>1.6</t>
  </si>
  <si>
    <t>LANCAMENTO/APLICACAO MANUAL DE CONCRETO EM FUNDACOES</t>
  </si>
  <si>
    <t>1.7</t>
  </si>
  <si>
    <t>ESCAVAÇÃO MANUAL PARA BLOCO DE COROAMENTO OU SAPATA, COM PREVISÃO DE FÔRMA. AF_06/2017</t>
  </si>
  <si>
    <t>2 - ESTRUTURA</t>
  </si>
  <si>
    <t>PROPRIA</t>
  </si>
  <si>
    <t>2.1</t>
  </si>
  <si>
    <t>COMP-01</t>
  </si>
  <si>
    <t>2.2</t>
  </si>
  <si>
    <t>FUNDO ANTICORROSIVO A BASE DE OXIDO DE FERRO (ZARCAO), DUAS DEMAOS</t>
  </si>
  <si>
    <t>2.3</t>
  </si>
  <si>
    <t>PINTURA ESMALTE FOSCO, DUAS DEMAOS, SOBRE SUPERFICIE METALICA</t>
  </si>
  <si>
    <t>GUINDASTE HIDRÁULICO AUTOPROPELIDO, COM LANÇA TELESCÓPICA 40 M, CAPACIDADE MÁXIMA 60 T, POTÊNCIA 260 KW - MATERIAIS NA OPERAÇÃO. AF_03/2016</t>
  </si>
  <si>
    <t>H</t>
  </si>
  <si>
    <t>3 - PAVIMENTAÇÃO</t>
  </si>
  <si>
    <t>3.1</t>
  </si>
  <si>
    <t>EXECUÇÃO DE PAVIMENTO EM PISO INTERTRAVADO, COM BLOCO PISOGRAMA DE 35 X 25 CM, ESPESSURA 8 CM. AF_12/2015</t>
  </si>
  <si>
    <t>3.2</t>
  </si>
  <si>
    <t>PLANTIO DE GRAMA EM PAVIMENTO CONCREGRAMA. AF_05/2018</t>
  </si>
  <si>
    <t>3.3</t>
  </si>
  <si>
    <t>EXECUÇÃO DE PÁTIO/ESTACIONAMENTO EM PISO INTERTRAVADO, COM BLOCO RETANGULAR COR NATURAL DE 20 X 10 CM, ESPESSURA 8 CM. AF_12/2015</t>
  </si>
  <si>
    <t>3.4</t>
  </si>
  <si>
    <t>PLANTIO DE GRAMA EM PLACAS. AF_05/2018</t>
  </si>
  <si>
    <t>3.5</t>
  </si>
  <si>
    <t>SINALIZAÇÃO HORIZONTAL COM TINTA RETROREFLECTIVA A BASE DE RESINA ACRILICA COM MICROESFERAS DE VIDRO</t>
  </si>
  <si>
    <t>3.6</t>
  </si>
  <si>
    <t>FORNECIMENTO E COLOCAÇÃO DE TACHÃO REFLETIVO BIDIRECIONAL</t>
  </si>
  <si>
    <t>3.7</t>
  </si>
  <si>
    <t>PLACA ESMALTADA PARA IDENTIFICAÇÃO DE ALTURA MAX. DIM. 45X25CM</t>
  </si>
  <si>
    <t>3.8</t>
  </si>
  <si>
    <t>PLANTIO DE ÁRVORE ORNAMENTAL COM ALTURA DE MUDA MENOR OU IGUAL A 2,00M. AF_05/2018</t>
  </si>
  <si>
    <t>3.9</t>
  </si>
  <si>
    <t>CORTE RASO E RECORTE DE ÁRVORE COM DIÂMETRO DE TRONCO MAIOR OU IGUAL A</t>
  </si>
  <si>
    <t>3.10</t>
  </si>
  <si>
    <t>REMOÇÃO DE RAÍZES REMANESCENTES DE TRONCO DE ÁRVORE COM DIÂMETRO MAIOR OU IGUAL A 0,40 M E MENOR QUE 0,60 M.AF_05/2018</t>
  </si>
  <si>
    <t>3.11</t>
  </si>
  <si>
    <t>GRADE EM MADEIRA PARA PROTECAO DE MUDAS DE ARVORES</t>
  </si>
  <si>
    <t>3.12</t>
  </si>
  <si>
    <t>TUBO PVC, SÉRIE R, ÁGUA PLUVIAL, DN 150 MM, FORNECIDO E INSTALADO EM CONDUTORES VERTICAIS DE ÁGUAS PLUVIAIS. AF_12/2014</t>
  </si>
  <si>
    <t>GUIA (MEIO-FIO) CONCRETO, MOLDADA  IN LOCO  EM TRECHO CURVO COM EXTRUSORA, 11,5 CM BASE X 22 CM ALTURA. AF_06/2016</t>
  </si>
  <si>
    <t>GERENCIAMENTO DE OBRA  - SPDA - CAMPO GRANDE - MS</t>
  </si>
  <si>
    <t>Gerenciamento de Obra SPDA</t>
  </si>
  <si>
    <t>QUANTITATIVO MATERIAL SPDA - CAMPO GRANDE - MS</t>
  </si>
  <si>
    <t>1 - SISTEMA DE PROTEÇÃO CONTRA DESCARGAS ATMOSFÉRICAS</t>
  </si>
  <si>
    <t>CABO DE COBRE NU 35MM2 - FORNECIMENTO E INSTALACAO</t>
  </si>
  <si>
    <t>uni</t>
  </si>
  <si>
    <t>CABO DE COBRE NU 50MM2 - FORNECIMENTO E INSTALACAO</t>
  </si>
  <si>
    <t>TERMINAL OU CONECTOR DE PRESSAO - PARA CABO 50MM2 - FORNECIMENTO E INSTALACAO</t>
  </si>
  <si>
    <t>TERMINAL OU CONECTOR DE PRESSAO - PARA CABO 35MM2 - FORNECIMENTO E INSTALACAO</t>
  </si>
  <si>
    <t>TERMINAL OU CONECTOR DE PRESSAO - PARA CABO 10MM2 - FORNECIMENTO E INSTALACAO</t>
  </si>
  <si>
    <t>PARAFUSO, AUTO ATARRACHANTE, CABECA CHATA, FENDA SIMPLES, 1/4 (6,35 MM) X 25 MM</t>
  </si>
  <si>
    <t>1.8</t>
  </si>
  <si>
    <t>ESCAVAÇÃO MANUAL DE VALA COM PROFUNDIDADE MENOR OU IGUAL A 1,30 M. AF_03/2016</t>
  </si>
  <si>
    <t>1.9</t>
  </si>
  <si>
    <t>REATERRO MANUAL APILOADO COM SOQUETE. AF_10/2017</t>
  </si>
  <si>
    <t>COTAÇÃO</t>
  </si>
  <si>
    <t>1.10</t>
  </si>
  <si>
    <t>QUADRO DE COMANDO IP66 40X30X20CM</t>
  </si>
  <si>
    <t>1.11</t>
  </si>
  <si>
    <t>BARRAMENTO COBRE 200A</t>
  </si>
  <si>
    <t>1.12</t>
  </si>
  <si>
    <t>ISOLADOR EPOXI 30X30MM ROSCA 1/4 COM PARAFUSO SEXTAVADO 1/4X1/2"</t>
  </si>
  <si>
    <t>1.13</t>
  </si>
  <si>
    <t>PARAFUSO ZINCADO, SEXTAVADO, COM ROSCA INTEIRA, DIAMETRO 1/4", COMPRIMENTO 1/2"</t>
  </si>
  <si>
    <t>1.14</t>
  </si>
  <si>
    <t>PORCA ZINCADA, SEXTAVADA, DIAMETRO 1/4"</t>
  </si>
  <si>
    <t>C90777</t>
  </si>
  <si>
    <t>C90776</t>
  </si>
  <si>
    <t>UNID</t>
  </si>
  <si>
    <t>C73847/001</t>
  </si>
  <si>
    <t>C74209/001</t>
  </si>
  <si>
    <t>ALUGUEL CONTAINER/ESCRIT INCL INST ELET LARG=2,20 COMP=6,20M 2,50M CHAPA ACO C/NERV TRAPEZ FORRO C/ISOL TERMO/ACUSTICO REFORC PISO COMPENS NAVAL EXC TRANSP/CARGA/DESCARGA</t>
  </si>
  <si>
    <t>C98459</t>
  </si>
  <si>
    <t>C74077/002</t>
  </si>
  <si>
    <t>C96546</t>
  </si>
  <si>
    <t>C96543</t>
  </si>
  <si>
    <t>ARMAÇÃO DE BLOCO, VIGA BALDRAME OU SAPATA UTILIZANDO AÇO CA-50 DE 10 MM - MONTAGEM. AF_06/2017</t>
  </si>
  <si>
    <t>ARMAÇÃO DE BLOCO, VIGA BALDRAME E SAPATA UTILIZANDO AÇO CA-60 DE 5 MM - MONTAGEM. AF_06/2017</t>
  </si>
  <si>
    <t>C90880</t>
  </si>
  <si>
    <t>C92270</t>
  </si>
  <si>
    <t>C94965</t>
  </si>
  <si>
    <t>C74157/004</t>
  </si>
  <si>
    <t>C96523</t>
  </si>
  <si>
    <t>C74064/001</t>
  </si>
  <si>
    <t>C73924/003</t>
  </si>
  <si>
    <t>C93286</t>
  </si>
  <si>
    <t>2.4</t>
  </si>
  <si>
    <t>2.5</t>
  </si>
  <si>
    <t>C88297</t>
  </si>
  <si>
    <t>OPERADOR DE MÁQUINAS E EQUIPAMENTOS COM ENCARGOS COMPLEMENTARES</t>
  </si>
  <si>
    <t>C92392</t>
  </si>
  <si>
    <t>C98503</t>
  </si>
  <si>
    <t>C92398</t>
  </si>
  <si>
    <t>C98504</t>
  </si>
  <si>
    <t>C73916/002</t>
  </si>
  <si>
    <t>C98510</t>
  </si>
  <si>
    <t>C98529</t>
  </si>
  <si>
    <t>C98527</t>
  </si>
  <si>
    <t>C73788/002</t>
  </si>
  <si>
    <t>C89580</t>
  </si>
  <si>
    <t>C94264</t>
  </si>
  <si>
    <t>C72253</t>
  </si>
  <si>
    <t>C72254</t>
  </si>
  <si>
    <t>C72263</t>
  </si>
  <si>
    <t>C72262</t>
  </si>
  <si>
    <t>C72259</t>
  </si>
  <si>
    <t>C72272</t>
  </si>
  <si>
    <t>CONECTOR PARAFUSO FENDIDO SPLIT-BOLT - PARA CABO DE 35MM2 - FORNECIMENTO E INSTALACAO</t>
  </si>
  <si>
    <t>I40552</t>
  </si>
  <si>
    <t>C93358</t>
  </si>
  <si>
    <t>C96995</t>
  </si>
  <si>
    <t>I39997</t>
  </si>
  <si>
    <t>I11962</t>
  </si>
  <si>
    <t>C72947</t>
  </si>
  <si>
    <t>C4528</t>
  </si>
  <si>
    <t>COMPOSIÇÃO DE PREÇO DE MATERIAL FOTOVOLTAICO - CAMPO GRANDE - MS</t>
  </si>
  <si>
    <t xml:space="preserve">SISTEMA DE PROTEÇÃO DE DESCARGA ATMOSFÉRICA </t>
  </si>
  <si>
    <t>FORNECEDORES</t>
  </si>
  <si>
    <t>MATERIAL</t>
  </si>
  <si>
    <t>PREÇO - R$</t>
  </si>
  <si>
    <t>UNITARIO</t>
  </si>
  <si>
    <t>Quadro de comando IP66 40x30x20cm</t>
  </si>
  <si>
    <t>PETEL</t>
  </si>
  <si>
    <t>ZAN</t>
  </si>
  <si>
    <t>POLO</t>
  </si>
  <si>
    <r>
      <rPr>
        <b/>
        <sz val="11"/>
        <rFont val="Times New Roman"/>
        <family val="1"/>
      </rPr>
      <t>MATERIAL</t>
    </r>
  </si>
  <si>
    <r>
      <rPr>
        <b/>
        <sz val="11"/>
        <rFont val="Times New Roman"/>
        <family val="1"/>
      </rPr>
      <t>FONTE</t>
    </r>
  </si>
  <si>
    <r>
      <rPr>
        <b/>
        <sz val="11"/>
        <rFont val="Times New Roman"/>
        <family val="1"/>
      </rPr>
      <t>UNID</t>
    </r>
  </si>
  <si>
    <r>
      <rPr>
        <b/>
        <sz val="11"/>
        <rFont val="Times New Roman"/>
        <family val="1"/>
      </rPr>
      <t>COEFICIENTE</t>
    </r>
  </si>
  <si>
    <r>
      <rPr>
        <sz val="11"/>
        <rFont val="Times New Roman"/>
        <family val="1"/>
      </rPr>
      <t>CHAPA DE ACO FINA A QUENTE BITOLA MSG 3/16 ", E = 4,75 MM (38,00 KG/M2)</t>
    </r>
  </si>
  <si>
    <r>
      <rPr>
        <sz val="11"/>
        <rFont val="Times New Roman"/>
        <family val="1"/>
      </rPr>
      <t>SINAPI</t>
    </r>
  </si>
  <si>
    <r>
      <rPr>
        <sz val="11"/>
        <rFont val="Times New Roman"/>
        <family val="1"/>
      </rPr>
      <t>KG</t>
    </r>
  </si>
  <si>
    <r>
      <rPr>
        <b/>
        <sz val="11"/>
        <rFont val="Times New Roman"/>
        <family val="1"/>
      </rPr>
      <t>TOTAL MATERIAL:</t>
    </r>
  </si>
  <si>
    <r>
      <rPr>
        <b/>
        <sz val="11"/>
        <rFont val="Times New Roman"/>
        <family val="1"/>
      </rPr>
      <t>SERVICO</t>
    </r>
  </si>
  <si>
    <r>
      <rPr>
        <sz val="11"/>
        <rFont val="Times New Roman"/>
        <family val="1"/>
      </rPr>
      <t>SOLDA TOPO DESCENDENTE CHANFRADA ESPESSURA=1/4" CHAPA/PERFIL/TUBO ACO COM CONVERSOR DIESEL.</t>
    </r>
  </si>
  <si>
    <r>
      <rPr>
        <sz val="11"/>
        <rFont val="Times New Roman"/>
        <family val="1"/>
      </rPr>
      <t>M</t>
    </r>
  </si>
  <si>
    <r>
      <rPr>
        <sz val="11"/>
        <rFont val="Times New Roman"/>
        <family val="1"/>
      </rPr>
      <t>88315</t>
    </r>
  </si>
  <si>
    <r>
      <rPr>
        <sz val="11"/>
        <rFont val="Times New Roman"/>
        <family val="1"/>
      </rPr>
      <t>SERRALHEIRO COM ENCARGOS COMPLEMENTARES</t>
    </r>
  </si>
  <si>
    <r>
      <rPr>
        <sz val="11"/>
        <rFont val="Times New Roman"/>
        <family val="1"/>
      </rPr>
      <t>H</t>
    </r>
  </si>
  <si>
    <r>
      <rPr>
        <sz val="11"/>
        <rFont val="Times New Roman"/>
        <family val="1"/>
      </rPr>
      <t>88316</t>
    </r>
  </si>
  <si>
    <r>
      <rPr>
        <sz val="11"/>
        <rFont val="Times New Roman"/>
        <family val="1"/>
      </rPr>
      <t>SERVENTE COM ENCARGOS COMPLEMENTARES</t>
    </r>
  </si>
  <si>
    <t>MAT</t>
  </si>
  <si>
    <t>MO</t>
  </si>
  <si>
    <t>C6391</t>
  </si>
  <si>
    <t>I00001319</t>
  </si>
  <si>
    <t>C. MAT</t>
  </si>
  <si>
    <t>C. MO</t>
  </si>
  <si>
    <t>C. TOTAL</t>
  </si>
  <si>
    <t>subtotal MAT</t>
  </si>
  <si>
    <t>subtotal MO</t>
  </si>
  <si>
    <t>total</t>
  </si>
  <si>
    <t>MÃO DE OBRA</t>
  </si>
  <si>
    <t>CENTO</t>
  </si>
  <si>
    <t>BASE SEINFRA/CE</t>
  </si>
  <si>
    <t>3.2. COMP-01 - Perfil "U" enrijecido em Chapa Fina (CF-26) Dobrada em equipamento industrial (KG)</t>
  </si>
  <si>
    <t>Perfil "U" enrijecido em Chapa Fina (CF-26) Dobrada em equipamento industrial</t>
  </si>
  <si>
    <t>REGIME:</t>
  </si>
  <si>
    <t>DESONERADO</t>
  </si>
  <si>
    <t>MÊS DE REFERÊNCIA:</t>
  </si>
  <si>
    <t>CONFERENCIA</t>
  </si>
  <si>
    <t>TOTAL ACUMULADO</t>
  </si>
  <si>
    <t>Cronograma  Descritivo - CAMPO GRANDE -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</si>
</sst>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* #,##0.00_-;\-&quot;R$&quot;* #,##0.00_-;_-&quot;R$&quot;* &quot;-&quot;??_-;_-@_-"/>
    <numFmt numFmtId="164" formatCode="#,##0.00_ ;\-#,##0.00\ "/>
    <numFmt numFmtId="165" formatCode="_(&quot;R$ &quot;* #,##0.00_);_(&quot;R$ &quot;* \(#,##0.00\);_(&quot;R$ &quot;* &quot;-&quot;??_);_(@_)"/>
    <numFmt numFmtId="166" formatCode="dd\-mmm\-yy"/>
    <numFmt numFmtId="167" formatCode="_-&quot;R$&quot;\ * #,##0.00_-;\-&quot;R$&quot;\ * #,##0.00_-;_-&quot;R$&quot;\ * &quot;-&quot;??_-;_-@_-"/>
    <numFmt numFmtId="168" formatCode="#0.00"/>
    <numFmt numFmtId="169" formatCode="#0.0000"/>
    <numFmt numFmtId="170" formatCode="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rgb="FFFFFFFF"/>
      <name val="Times New Roman"/>
      <family val="1"/>
    </font>
    <font>
      <b/>
      <sz val="11"/>
      <color theme="0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ont="1"/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" fontId="3" fillId="4" borderId="9" xfId="0" applyNumberFormat="1" applyFont="1" applyFill="1" applyBorder="1" applyAlignment="1">
      <alignment horizontal="center" vertical="center"/>
    </xf>
    <xf numFmtId="44" fontId="3" fillId="4" borderId="9" xfId="1" applyFont="1" applyFill="1" applyBorder="1" applyAlignment="1">
      <alignment horizontal="center" vertical="center"/>
    </xf>
    <xf numFmtId="44" fontId="4" fillId="0" borderId="7" xfId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44" fontId="4" fillId="0" borderId="7" xfId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44" fontId="4" fillId="0" borderId="7" xfId="1" applyFont="1" applyFill="1" applyBorder="1" applyAlignment="1">
      <alignment horizontal="left" vertical="center" wrapText="1"/>
    </xf>
    <xf numFmtId="164" fontId="4" fillId="0" borderId="7" xfId="1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0" fontId="0" fillId="0" borderId="7" xfId="0" applyFont="1" applyFill="1" applyBorder="1" applyAlignment="1">
      <alignment wrapText="1"/>
    </xf>
    <xf numFmtId="1" fontId="4" fillId="0" borderId="7" xfId="0" applyNumberFormat="1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44" fontId="5" fillId="0" borderId="7" xfId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0" fontId="0" fillId="0" borderId="0" xfId="0" applyNumberFormat="1" applyFont="1"/>
    <xf numFmtId="0" fontId="7" fillId="0" borderId="7" xfId="3" applyFont="1" applyFill="1" applyBorder="1" applyAlignment="1">
      <alignment horizontal="center"/>
    </xf>
    <xf numFmtId="164" fontId="4" fillId="7" borderId="7" xfId="1" applyNumberFormat="1" applyFont="1" applyFill="1" applyBorder="1" applyAlignment="1">
      <alignment horizontal="center" vertical="center"/>
    </xf>
    <xf numFmtId="0" fontId="0" fillId="0" borderId="7" xfId="0" applyFont="1" applyBorder="1"/>
    <xf numFmtId="10" fontId="0" fillId="0" borderId="7" xfId="2" applyNumberFormat="1" applyFont="1" applyBorder="1"/>
    <xf numFmtId="0" fontId="3" fillId="7" borderId="7" xfId="0" applyFont="1" applyFill="1" applyBorder="1" applyAlignment="1">
      <alignment horizontal="center"/>
    </xf>
    <xf numFmtId="44" fontId="3" fillId="7" borderId="7" xfId="1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44" fontId="3" fillId="8" borderId="7" xfId="1" applyFont="1" applyFill="1" applyBorder="1" applyAlignment="1">
      <alignment horizontal="center"/>
    </xf>
    <xf numFmtId="9" fontId="0" fillId="9" borderId="7" xfId="2" applyFont="1" applyFill="1" applyBorder="1"/>
    <xf numFmtId="44" fontId="0" fillId="9" borderId="7" xfId="0" applyNumberFormat="1" applyFont="1" applyFill="1" applyBorder="1"/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4" fontId="4" fillId="6" borderId="7" xfId="1" applyNumberFormat="1" applyFont="1" applyFill="1" applyBorder="1" applyAlignment="1">
      <alignment horizontal="center"/>
    </xf>
    <xf numFmtId="10" fontId="4" fillId="6" borderId="7" xfId="1" applyNumberFormat="1" applyFont="1" applyFill="1" applyBorder="1" applyAlignment="1">
      <alignment horizontal="center"/>
    </xf>
    <xf numFmtId="4" fontId="4" fillId="6" borderId="7" xfId="0" applyNumberFormat="1" applyFont="1" applyFill="1" applyBorder="1" applyAlignment="1">
      <alignment horizontal="center"/>
    </xf>
    <xf numFmtId="44" fontId="5" fillId="0" borderId="7" xfId="1" applyFont="1" applyFill="1" applyBorder="1" applyAlignment="1">
      <alignment horizontal="left" vertical="center" wrapText="1"/>
    </xf>
    <xf numFmtId="4" fontId="4" fillId="7" borderId="7" xfId="0" applyNumberFormat="1" applyFont="1" applyFill="1" applyBorder="1" applyAlignment="1">
      <alignment horizontal="center"/>
    </xf>
    <xf numFmtId="44" fontId="4" fillId="10" borderId="7" xfId="1" applyFont="1" applyFill="1" applyBorder="1" applyAlignment="1">
      <alignment horizontal="center" vertical="center"/>
    </xf>
    <xf numFmtId="44" fontId="5" fillId="10" borderId="7" xfId="1" applyFont="1" applyFill="1" applyBorder="1" applyAlignment="1">
      <alignment horizontal="center" vertical="center"/>
    </xf>
    <xf numFmtId="44" fontId="4" fillId="5" borderId="7" xfId="1" applyFont="1" applyFill="1" applyBorder="1" applyAlignment="1">
      <alignment horizontal="center" vertical="center"/>
    </xf>
    <xf numFmtId="44" fontId="5" fillId="5" borderId="7" xfId="1" applyFont="1" applyFill="1" applyBorder="1" applyAlignment="1">
      <alignment horizontal="center"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wrapText="1"/>
      <protection hidden="1"/>
    </xf>
    <xf numFmtId="0" fontId="13" fillId="4" borderId="7" xfId="0" applyFont="1" applyFill="1" applyBorder="1" applyAlignment="1" applyProtection="1">
      <alignment horizontal="center" vertical="center" wrapText="1"/>
      <protection hidden="1"/>
    </xf>
    <xf numFmtId="0" fontId="12" fillId="4" borderId="7" xfId="0" applyFont="1" applyFill="1" applyBorder="1" applyAlignment="1" applyProtection="1">
      <alignment horizontal="center" vertical="center" wrapText="1"/>
      <protection hidden="1"/>
    </xf>
    <xf numFmtId="0" fontId="14" fillId="0" borderId="7" xfId="0" applyFont="1" applyFill="1" applyBorder="1" applyAlignment="1" applyProtection="1">
      <alignment horizontal="left" vertical="center"/>
      <protection hidden="1"/>
    </xf>
    <xf numFmtId="0" fontId="14" fillId="0" borderId="7" xfId="0" applyFont="1" applyFill="1" applyBorder="1" applyAlignment="1" applyProtection="1">
      <alignment horizontal="left" vertical="center" wrapText="1"/>
      <protection hidden="1"/>
    </xf>
    <xf numFmtId="1" fontId="15" fillId="12" borderId="7" xfId="0" applyNumberFormat="1" applyFont="1" applyFill="1" applyBorder="1" applyAlignment="1" applyProtection="1">
      <alignment horizontal="center" vertical="center" wrapText="1"/>
      <protection hidden="1"/>
    </xf>
    <xf numFmtId="0" fontId="15" fillId="12" borderId="7" xfId="0" applyFont="1" applyFill="1" applyBorder="1" applyAlignment="1" applyProtection="1">
      <alignment horizontal="center" vertical="center" wrapText="1"/>
      <protection hidden="1"/>
    </xf>
    <xf numFmtId="167" fontId="0" fillId="0" borderId="7" xfId="0" applyNumberFormat="1" applyBorder="1" applyProtection="1">
      <protection hidden="1"/>
    </xf>
    <xf numFmtId="44" fontId="9" fillId="11" borderId="7" xfId="1" applyFont="1" applyFill="1" applyBorder="1" applyAlignment="1" applyProtection="1">
      <alignment horizontal="center" vertical="center" wrapText="1"/>
      <protection hidden="1"/>
    </xf>
    <xf numFmtId="44" fontId="0" fillId="0" borderId="7" xfId="1" applyFont="1" applyBorder="1" applyAlignment="1" applyProtection="1">
      <alignment vertical="center" wrapText="1"/>
      <protection hidden="1"/>
    </xf>
    <xf numFmtId="0" fontId="0" fillId="0" borderId="7" xfId="0" applyBorder="1" applyProtection="1">
      <protection hidden="1"/>
    </xf>
    <xf numFmtId="0" fontId="0" fillId="0" borderId="7" xfId="0" applyFill="1" applyBorder="1" applyAlignment="1" applyProtection="1">
      <alignment horizontal="left" vertical="center" wrapText="1"/>
      <protection hidden="1"/>
    </xf>
    <xf numFmtId="1" fontId="0" fillId="0" borderId="7" xfId="0" applyNumberFormat="1" applyBorder="1" applyAlignment="1" applyProtection="1">
      <alignment horizontal="center" vertical="center"/>
      <protection hidden="1"/>
    </xf>
    <xf numFmtId="0" fontId="15" fillId="0" borderId="7" xfId="0" applyFont="1" applyFill="1" applyBorder="1" applyAlignment="1" applyProtection="1">
      <alignment horizontal="center" vertical="center"/>
      <protection hidden="1"/>
    </xf>
    <xf numFmtId="167" fontId="0" fillId="5" borderId="7" xfId="0" applyNumberFormat="1" applyFill="1" applyBorder="1" applyProtection="1">
      <protection hidden="1"/>
    </xf>
    <xf numFmtId="0" fontId="12" fillId="13" borderId="15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 wrapText="1"/>
    </xf>
    <xf numFmtId="168" fontId="15" fillId="0" borderId="15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2" fillId="0" borderId="15" xfId="0" applyNumberFormat="1" applyFont="1" applyFill="1" applyBorder="1" applyAlignment="1" applyProtection="1">
      <alignment horizontal="center" vertical="center" wrapText="1"/>
    </xf>
    <xf numFmtId="169" fontId="15" fillId="0" borderId="15" xfId="0" applyNumberFormat="1" applyFont="1" applyFill="1" applyBorder="1" applyAlignment="1" applyProtection="1">
      <alignment horizontal="center" vertical="center" wrapText="1"/>
    </xf>
    <xf numFmtId="170" fontId="15" fillId="0" borderId="15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11" fillId="3" borderId="0" xfId="0" applyFont="1" applyFill="1" applyBorder="1" applyAlignment="1" applyProtection="1">
      <alignment horizontal="center" vertical="center" wrapText="1"/>
      <protection hidden="1"/>
    </xf>
    <xf numFmtId="0" fontId="12" fillId="4" borderId="0" xfId="0" applyFont="1" applyFill="1" applyBorder="1" applyAlignment="1" applyProtection="1">
      <alignment horizontal="center" vertical="center" wrapText="1"/>
      <protection hidden="1"/>
    </xf>
    <xf numFmtId="167" fontId="0" fillId="0" borderId="0" xfId="0" applyNumberFormat="1" applyBorder="1" applyProtection="1">
      <protection hidden="1"/>
    </xf>
    <xf numFmtId="0" fontId="0" fillId="0" borderId="0" xfId="0" applyBorder="1" applyProtection="1">
      <protection hidden="1"/>
    </xf>
    <xf numFmtId="168" fontId="15" fillId="5" borderId="15" xfId="0" applyNumberFormat="1" applyFont="1" applyFill="1" applyBorder="1" applyAlignment="1" applyProtection="1">
      <alignment horizontal="center" vertical="center" wrapText="1"/>
    </xf>
    <xf numFmtId="44" fontId="4" fillId="5" borderId="7" xfId="1" applyFont="1" applyFill="1" applyBorder="1" applyAlignment="1">
      <alignment horizontal="left" vertical="center" wrapText="1"/>
    </xf>
    <xf numFmtId="0" fontId="0" fillId="5" borderId="7" xfId="0" applyFont="1" applyFill="1" applyBorder="1" applyAlignment="1">
      <alignment horizontal="center"/>
    </xf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17" fontId="0" fillId="0" borderId="0" xfId="0" applyNumberFormat="1" applyFont="1" applyAlignment="1">
      <alignment horizontal="left"/>
    </xf>
    <xf numFmtId="0" fontId="7" fillId="6" borderId="7" xfId="3" applyFont="1" applyFill="1" applyBorder="1" applyAlignment="1">
      <alignment horizontal="center"/>
    </xf>
    <xf numFmtId="44" fontId="3" fillId="5" borderId="7" xfId="1" applyFont="1" applyFill="1" applyBorder="1" applyAlignment="1">
      <alignment horizontal="center"/>
    </xf>
    <xf numFmtId="0" fontId="0" fillId="5" borderId="0" xfId="0" applyFont="1" applyFill="1"/>
    <xf numFmtId="44" fontId="3" fillId="0" borderId="0" xfId="1" applyFont="1" applyFill="1" applyBorder="1" applyAlignment="1">
      <alignment horizontal="right" vertical="center" wrapText="1"/>
    </xf>
    <xf numFmtId="10" fontId="0" fillId="0" borderId="0" xfId="2" applyNumberFormat="1" applyFont="1"/>
    <xf numFmtId="44" fontId="9" fillId="8" borderId="7" xfId="0" applyNumberFormat="1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6" fontId="7" fillId="6" borderId="11" xfId="4" applyNumberFormat="1" applyFont="1" applyFill="1" applyBorder="1" applyAlignment="1">
      <alignment horizontal="center"/>
    </xf>
    <xf numFmtId="166" fontId="7" fillId="6" borderId="12" xfId="4" applyNumberFormat="1" applyFont="1" applyFill="1" applyBorder="1" applyAlignment="1">
      <alignment horizontal="center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0" fontId="12" fillId="11" borderId="7" xfId="0" applyFont="1" applyFill="1" applyBorder="1" applyAlignment="1" applyProtection="1">
      <alignment horizontal="center" vertical="center"/>
      <protection hidden="1"/>
    </xf>
    <xf numFmtId="0" fontId="12" fillId="11" borderId="13" xfId="0" applyFont="1" applyFill="1" applyBorder="1" applyAlignment="1" applyProtection="1">
      <alignment horizontal="center" vertical="center" wrapText="1"/>
      <protection hidden="1"/>
    </xf>
    <xf numFmtId="0" fontId="12" fillId="11" borderId="14" xfId="0" applyFont="1" applyFill="1" applyBorder="1" applyAlignment="1" applyProtection="1">
      <alignment horizontal="center" vertical="center" wrapText="1"/>
      <protection hidden="1"/>
    </xf>
    <xf numFmtId="1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1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3" xfId="0" applyFont="1" applyFill="1" applyBorder="1" applyAlignment="1" applyProtection="1">
      <alignment horizontal="center" vertical="center" wrapText="1"/>
      <protection hidden="1"/>
    </xf>
    <xf numFmtId="0" fontId="12" fillId="4" borderId="14" xfId="0" applyFont="1" applyFill="1" applyBorder="1" applyAlignment="1" applyProtection="1">
      <alignment horizontal="center" vertical="center" wrapText="1"/>
      <protection hidden="1"/>
    </xf>
    <xf numFmtId="0" fontId="12" fillId="4" borderId="11" xfId="0" applyFont="1" applyFill="1" applyBorder="1" applyAlignment="1" applyProtection="1">
      <alignment horizontal="center" vertical="center" wrapText="1"/>
      <protection hidden="1"/>
    </xf>
    <xf numFmtId="0" fontId="12" fillId="4" borderId="16" xfId="0" applyFont="1" applyFill="1" applyBorder="1" applyAlignment="1" applyProtection="1">
      <alignment horizontal="center" vertical="center" wrapText="1"/>
      <protection hidden="1"/>
    </xf>
    <xf numFmtId="0" fontId="12" fillId="4" borderId="12" xfId="0" applyFont="1" applyFill="1" applyBorder="1" applyAlignment="1" applyProtection="1">
      <alignment horizontal="center" vertical="center" wrapText="1"/>
      <protection hidden="1"/>
    </xf>
    <xf numFmtId="0" fontId="16" fillId="5" borderId="15" xfId="0" applyNumberFormat="1" applyFont="1" applyFill="1" applyBorder="1" applyAlignment="1" applyProtection="1">
      <alignment horizontal="center" vertical="center" wrapText="1"/>
    </xf>
    <xf numFmtId="0" fontId="12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12" fillId="13" borderId="15" xfId="0" applyNumberFormat="1" applyFont="1" applyFill="1" applyBorder="1" applyAlignment="1" applyProtection="1">
      <alignment horizontal="center" vertical="center" wrapText="1"/>
    </xf>
    <xf numFmtId="0" fontId="12" fillId="13" borderId="1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2" borderId="2" xfId="0" applyFont="1" applyFill="1" applyBorder="1" applyAlignment="1" applyProtection="1">
      <alignment horizontal="center" vertical="center"/>
      <protection hidden="1"/>
    </xf>
  </cellXfs>
  <cellStyles count="5">
    <cellStyle name="Moeda" xfId="1" builtinId="4"/>
    <cellStyle name="Moeda 2" xfId="4"/>
    <cellStyle name="Normal" xfId="0" builtinId="0"/>
    <cellStyle name="Normal 2" xfId="3"/>
    <cellStyle name="Porcentagem" xfId="2" builtinId="5"/>
  </cellStyles>
  <dxfs count="3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00"/>
  <sheetViews>
    <sheetView zoomScale="85" zoomScaleNormal="85" workbookViewId="0">
      <selection activeCell="F14" sqref="F14"/>
    </sheetView>
  </sheetViews>
  <sheetFormatPr defaultRowHeight="15" x14ac:dyDescent="0.25"/>
  <cols>
    <col min="1" max="1" width="12.85546875" style="1" bestFit="1" customWidth="1"/>
    <col min="2" max="2" width="6.85546875" style="1" bestFit="1" customWidth="1"/>
    <col min="3" max="3" width="13.5703125" style="36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customWidth="1"/>
    <col min="9" max="9" width="18" style="1" customWidth="1"/>
    <col min="10" max="10" width="8.85546875" style="1" customWidth="1"/>
    <col min="11" max="11" width="17.7109375" style="1" customWidth="1"/>
    <col min="12" max="12" width="16.7109375" style="1" customWidth="1"/>
    <col min="13" max="13" width="14.5703125" style="1" bestFit="1" customWidth="1"/>
    <col min="14" max="14" width="3.285156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81" t="s">
        <v>210</v>
      </c>
      <c r="E2" s="82" t="s">
        <v>211</v>
      </c>
      <c r="J2" s="25"/>
      <c r="O2" s="98" t="s">
        <v>28</v>
      </c>
      <c r="P2" s="99"/>
      <c r="Q2" s="99"/>
      <c r="R2" s="99"/>
      <c r="S2" s="99"/>
      <c r="T2" s="99"/>
      <c r="V2" s="86" t="s">
        <v>213</v>
      </c>
      <c r="W2" s="86"/>
    </row>
    <row r="3" spans="1:23" x14ac:dyDescent="0.25">
      <c r="D3" s="81" t="s">
        <v>212</v>
      </c>
      <c r="E3" s="83">
        <v>43344</v>
      </c>
    </row>
    <row r="4" spans="1:23" ht="15.75" thickBot="1" x14ac:dyDescent="0.3">
      <c r="O4" s="100" t="s">
        <v>29</v>
      </c>
      <c r="P4" s="101"/>
      <c r="Q4" s="100" t="s">
        <v>30</v>
      </c>
      <c r="R4" s="101"/>
      <c r="S4" s="100" t="s">
        <v>41</v>
      </c>
      <c r="T4" s="101"/>
    </row>
    <row r="5" spans="1:23" ht="15.75" thickBot="1" x14ac:dyDescent="0.3">
      <c r="A5" s="92" t="s">
        <v>27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4"/>
      <c r="O5" s="84" t="s">
        <v>31</v>
      </c>
      <c r="P5" s="84" t="s">
        <v>32</v>
      </c>
      <c r="Q5" s="84" t="s">
        <v>31</v>
      </c>
      <c r="R5" s="84" t="s">
        <v>32</v>
      </c>
      <c r="S5" s="84" t="s">
        <v>31</v>
      </c>
      <c r="T5" s="84" t="s">
        <v>32</v>
      </c>
      <c r="V5" s="26" t="s">
        <v>31</v>
      </c>
      <c r="W5" s="26" t="s">
        <v>32</v>
      </c>
    </row>
    <row r="6" spans="1:23" ht="15.75" thickBot="1" x14ac:dyDescent="0.3"/>
    <row r="7" spans="1:23" ht="15.75" thickBot="1" x14ac:dyDescent="0.3">
      <c r="A7" s="95" t="s">
        <v>14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7"/>
    </row>
    <row r="8" spans="1:23" x14ac:dyDescent="0.25">
      <c r="A8" s="90" t="s">
        <v>15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1"/>
      <c r="O8" s="90"/>
      <c r="P8" s="90"/>
      <c r="Q8" s="90"/>
      <c r="R8" s="90"/>
      <c r="S8" s="90"/>
      <c r="T8" s="90"/>
    </row>
    <row r="9" spans="1:23" x14ac:dyDescent="0.25">
      <c r="A9" s="2" t="s">
        <v>2</v>
      </c>
      <c r="B9" s="3" t="s">
        <v>3</v>
      </c>
      <c r="C9" s="3" t="s">
        <v>4</v>
      </c>
      <c r="D9" s="3" t="s">
        <v>5</v>
      </c>
      <c r="E9" s="4" t="s">
        <v>6</v>
      </c>
      <c r="F9" s="3" t="s">
        <v>7</v>
      </c>
      <c r="G9" s="3" t="s">
        <v>33</v>
      </c>
      <c r="H9" s="3" t="s">
        <v>34</v>
      </c>
      <c r="I9" s="5" t="s">
        <v>35</v>
      </c>
      <c r="J9" s="5" t="s">
        <v>36</v>
      </c>
      <c r="K9" s="3" t="s">
        <v>37</v>
      </c>
      <c r="L9" s="3" t="s">
        <v>38</v>
      </c>
      <c r="M9" s="5" t="s">
        <v>39</v>
      </c>
    </row>
    <row r="10" spans="1:23" x14ac:dyDescent="0.25">
      <c r="A10" s="79" t="s">
        <v>16</v>
      </c>
      <c r="B10" s="79" t="s">
        <v>9</v>
      </c>
      <c r="C10" s="79" t="s">
        <v>17</v>
      </c>
      <c r="D10" s="16" t="s">
        <v>18</v>
      </c>
      <c r="E10" s="14">
        <v>1</v>
      </c>
      <c r="F10" s="7" t="s">
        <v>122</v>
      </c>
      <c r="G10" s="42">
        <v>218.54</v>
      </c>
      <c r="H10" s="42">
        <v>0</v>
      </c>
      <c r="I10" s="38">
        <f>G10+H10</f>
        <v>218.54</v>
      </c>
      <c r="J10" s="39">
        <v>0.27779999999999999</v>
      </c>
      <c r="K10" s="40">
        <f>$E10*G10*(1+$J10)</f>
        <v>279.25041199999998</v>
      </c>
      <c r="L10" s="40">
        <f t="shared" ref="L10:M10" si="0">$E10*H10*(1+$J10)</f>
        <v>0</v>
      </c>
      <c r="M10" s="40">
        <f t="shared" si="0"/>
        <v>279.25041199999998</v>
      </c>
      <c r="O10" s="34">
        <v>1</v>
      </c>
      <c r="P10" s="35">
        <f>O10*$M10</f>
        <v>279.25041199999998</v>
      </c>
      <c r="Q10" s="28"/>
      <c r="R10" s="28"/>
      <c r="S10" s="28"/>
      <c r="T10" s="28"/>
      <c r="V10" s="29">
        <f>O10+Q10+S10</f>
        <v>1</v>
      </c>
      <c r="W10" s="8">
        <f>P10+R10+T10</f>
        <v>279.25041199999998</v>
      </c>
    </row>
    <row r="11" spans="1:23" ht="30" x14ac:dyDescent="0.25">
      <c r="A11" s="6" t="s">
        <v>8</v>
      </c>
      <c r="B11" s="18" t="s">
        <v>10</v>
      </c>
      <c r="C11" s="15" t="s">
        <v>120</v>
      </c>
      <c r="D11" s="16" t="s">
        <v>20</v>
      </c>
      <c r="E11" s="14">
        <v>20</v>
      </c>
      <c r="F11" s="7" t="s">
        <v>67</v>
      </c>
      <c r="G11" s="42">
        <v>0.4</v>
      </c>
      <c r="H11" s="42">
        <v>70.260000000000005</v>
      </c>
      <c r="I11" s="38">
        <f t="shared" ref="I11:I12" si="1">G11+H11</f>
        <v>70.660000000000011</v>
      </c>
      <c r="J11" s="39">
        <v>0.27779999999999999</v>
      </c>
      <c r="K11" s="40">
        <f t="shared" ref="K11:K12" si="2">$E11*G11*(1+$J11)</f>
        <v>10.2224</v>
      </c>
      <c r="L11" s="40">
        <f t="shared" ref="L11:L12" si="3">$E11*H11*(1+$J11)</f>
        <v>1795.56456</v>
      </c>
      <c r="M11" s="40">
        <f t="shared" ref="M11:M12" si="4">$E11*I11*(1+$J11)</f>
        <v>1805.7869600000004</v>
      </c>
      <c r="O11" s="34">
        <v>0.5</v>
      </c>
      <c r="P11" s="35">
        <f>O11*$M11</f>
        <v>902.89348000000018</v>
      </c>
      <c r="Q11" s="34">
        <v>0.5</v>
      </c>
      <c r="R11" s="35">
        <f>Q11*$M11</f>
        <v>902.89348000000018</v>
      </c>
      <c r="S11" s="28"/>
      <c r="T11" s="28"/>
      <c r="V11" s="29">
        <f t="shared" ref="V11:V12" si="5">O11+Q11+S11</f>
        <v>1</v>
      </c>
      <c r="W11" s="8">
        <f>P11+R11+T11</f>
        <v>1805.7869600000004</v>
      </c>
    </row>
    <row r="12" spans="1:23" ht="30" x14ac:dyDescent="0.25">
      <c r="A12" s="6" t="s">
        <v>8</v>
      </c>
      <c r="B12" s="18" t="s">
        <v>11</v>
      </c>
      <c r="C12" s="15" t="s">
        <v>121</v>
      </c>
      <c r="D12" s="16" t="s">
        <v>21</v>
      </c>
      <c r="E12" s="14">
        <v>40</v>
      </c>
      <c r="F12" s="7" t="s">
        <v>67</v>
      </c>
      <c r="G12" s="42">
        <v>2.99</v>
      </c>
      <c r="H12" s="42">
        <v>19.010000000000002</v>
      </c>
      <c r="I12" s="38">
        <f t="shared" si="1"/>
        <v>22</v>
      </c>
      <c r="J12" s="39">
        <v>0.27779999999999999</v>
      </c>
      <c r="K12" s="40">
        <f t="shared" si="2"/>
        <v>152.82488000000001</v>
      </c>
      <c r="L12" s="40">
        <f t="shared" si="3"/>
        <v>971.63912000000016</v>
      </c>
      <c r="M12" s="40">
        <f t="shared" si="4"/>
        <v>1124.4639999999999</v>
      </c>
      <c r="O12" s="34">
        <v>0.5</v>
      </c>
      <c r="P12" s="35">
        <f>O12*$M12</f>
        <v>562.23199999999997</v>
      </c>
      <c r="Q12" s="34">
        <v>0.5</v>
      </c>
      <c r="R12" s="35">
        <f>Q12*$M12</f>
        <v>562.23199999999997</v>
      </c>
      <c r="S12" s="28"/>
      <c r="T12" s="28"/>
      <c r="V12" s="29">
        <f t="shared" si="5"/>
        <v>1</v>
      </c>
      <c r="W12" s="8">
        <f>P12+R12+T12</f>
        <v>1124.4639999999999</v>
      </c>
    </row>
    <row r="13" spans="1:23" x14ac:dyDescent="0.25">
      <c r="A13" s="20"/>
      <c r="B13" s="21"/>
      <c r="C13" s="37"/>
      <c r="D13" s="22"/>
      <c r="E13" s="23"/>
      <c r="F13" s="24"/>
      <c r="G13" s="24"/>
      <c r="H13" s="24"/>
      <c r="I13" s="32" t="s">
        <v>40</v>
      </c>
      <c r="J13" s="32"/>
      <c r="K13" s="33">
        <f t="shared" ref="K13:L13" si="6">SUM(K10:K12)</f>
        <v>442.29769199999998</v>
      </c>
      <c r="L13" s="33">
        <f t="shared" si="6"/>
        <v>2767.2036800000001</v>
      </c>
      <c r="M13" s="33">
        <f>SUM(M10:M12)</f>
        <v>3209.5013720000002</v>
      </c>
      <c r="P13" s="33">
        <f>SUM(P10:P12)</f>
        <v>1744.375892</v>
      </c>
      <c r="R13" s="33">
        <f>SUM(R10:R12)</f>
        <v>1465.1254800000002</v>
      </c>
      <c r="T13" s="33">
        <f>SUM(T10:T12)</f>
        <v>0</v>
      </c>
    </row>
    <row r="14" spans="1:23" ht="15.75" thickBot="1" x14ac:dyDescent="0.3"/>
    <row r="15" spans="1:23" ht="15.75" thickBot="1" x14ac:dyDescent="0.3">
      <c r="A15" s="95" t="s">
        <v>0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7"/>
    </row>
    <row r="16" spans="1:23" ht="15.75" thickBot="1" x14ac:dyDescent="0.3">
      <c r="A16" s="90" t="s">
        <v>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O16" s="90"/>
      <c r="P16" s="90"/>
      <c r="Q16" s="90"/>
      <c r="R16" s="90"/>
      <c r="S16" s="90"/>
      <c r="T16" s="90"/>
    </row>
    <row r="17" spans="1:23" x14ac:dyDescent="0.25">
      <c r="A17" s="10" t="s">
        <v>2</v>
      </c>
      <c r="B17" s="11" t="s">
        <v>3</v>
      </c>
      <c r="C17" s="11" t="s">
        <v>4</v>
      </c>
      <c r="D17" s="12" t="s">
        <v>5</v>
      </c>
      <c r="E17" s="4" t="s">
        <v>6</v>
      </c>
      <c r="F17" s="3" t="s">
        <v>7</v>
      </c>
      <c r="G17" s="3" t="s">
        <v>33</v>
      </c>
      <c r="H17" s="3" t="s">
        <v>34</v>
      </c>
      <c r="I17" s="5" t="s">
        <v>35</v>
      </c>
      <c r="J17" s="5" t="s">
        <v>36</v>
      </c>
      <c r="K17" s="3" t="s">
        <v>37</v>
      </c>
      <c r="L17" s="3" t="s">
        <v>38</v>
      </c>
      <c r="M17" s="5" t="s">
        <v>39</v>
      </c>
    </row>
    <row r="18" spans="1:23" x14ac:dyDescent="0.25">
      <c r="A18" s="6" t="s">
        <v>8</v>
      </c>
      <c r="B18" s="6" t="s">
        <v>9</v>
      </c>
      <c r="C18" s="19" t="s">
        <v>124</v>
      </c>
      <c r="D18" s="13" t="s">
        <v>22</v>
      </c>
      <c r="E18" s="14">
        <v>6</v>
      </c>
      <c r="F18" s="6" t="s">
        <v>23</v>
      </c>
      <c r="G18" s="42">
        <f>0.15+271.29</f>
        <v>271.44</v>
      </c>
      <c r="H18" s="42">
        <v>30.78</v>
      </c>
      <c r="I18" s="38">
        <f t="shared" ref="I18:I22" si="7">G18+H18</f>
        <v>302.22000000000003</v>
      </c>
      <c r="J18" s="39">
        <v>0.27779999999999999</v>
      </c>
      <c r="K18" s="40">
        <f t="shared" ref="K18:K22" si="8">$E18*G18*(1+$J18)</f>
        <v>2081.076192</v>
      </c>
      <c r="L18" s="40">
        <f t="shared" ref="L18:L22" si="9">$E18*H18*(1+$J18)</f>
        <v>235.98410400000003</v>
      </c>
      <c r="M18" s="40">
        <f t="shared" ref="M18:M22" si="10">$E18*I18*(1+$J18)</f>
        <v>2317.0602960000001</v>
      </c>
      <c r="O18" s="34">
        <v>1</v>
      </c>
      <c r="P18" s="35">
        <f>O18*$M18</f>
        <v>2317.0602960000001</v>
      </c>
      <c r="Q18" s="28"/>
      <c r="R18" s="28"/>
      <c r="S18" s="28"/>
      <c r="T18" s="28"/>
      <c r="V18" s="29">
        <f t="shared" ref="V18:V22" si="11">O18+Q18+S18</f>
        <v>1</v>
      </c>
      <c r="W18" s="8">
        <f t="shared" ref="W18:W22" si="12">P18+R18+T18</f>
        <v>2317.0602960000001</v>
      </c>
    </row>
    <row r="19" spans="1:23" ht="60" x14ac:dyDescent="0.25">
      <c r="A19" s="6" t="s">
        <v>8</v>
      </c>
      <c r="B19" s="6" t="s">
        <v>10</v>
      </c>
      <c r="C19" s="19" t="s">
        <v>123</v>
      </c>
      <c r="D19" s="41" t="s">
        <v>125</v>
      </c>
      <c r="E19" s="14">
        <v>2</v>
      </c>
      <c r="F19" s="6" t="s">
        <v>24</v>
      </c>
      <c r="G19" s="42">
        <v>394.53</v>
      </c>
      <c r="H19" s="42">
        <v>0</v>
      </c>
      <c r="I19" s="38">
        <f t="shared" si="7"/>
        <v>394.53</v>
      </c>
      <c r="J19" s="39">
        <v>0.27779999999999999</v>
      </c>
      <c r="K19" s="40">
        <f t="shared" si="8"/>
        <v>1008.260868</v>
      </c>
      <c r="L19" s="40">
        <f t="shared" si="9"/>
        <v>0</v>
      </c>
      <c r="M19" s="40">
        <f t="shared" si="10"/>
        <v>1008.260868</v>
      </c>
      <c r="O19" s="34">
        <v>0.5</v>
      </c>
      <c r="P19" s="35">
        <f>O19*$M19</f>
        <v>504.13043399999998</v>
      </c>
      <c r="Q19" s="34">
        <v>0.5</v>
      </c>
      <c r="R19" s="35">
        <f>Q19*$M19</f>
        <v>504.13043399999998</v>
      </c>
      <c r="S19" s="28"/>
      <c r="T19" s="28"/>
      <c r="V19" s="29">
        <f t="shared" si="11"/>
        <v>1</v>
      </c>
      <c r="W19" s="8">
        <f t="shared" si="12"/>
        <v>1008.260868</v>
      </c>
    </row>
    <row r="20" spans="1:23" ht="60" x14ac:dyDescent="0.25">
      <c r="A20" s="6" t="s">
        <v>8</v>
      </c>
      <c r="B20" s="6" t="s">
        <v>11</v>
      </c>
      <c r="C20" s="19" t="s">
        <v>123</v>
      </c>
      <c r="D20" s="41" t="s">
        <v>125</v>
      </c>
      <c r="E20" s="14">
        <v>2</v>
      </c>
      <c r="F20" s="6" t="s">
        <v>24</v>
      </c>
      <c r="G20" s="42">
        <v>394.53</v>
      </c>
      <c r="H20" s="42">
        <v>0</v>
      </c>
      <c r="I20" s="38">
        <f t="shared" si="7"/>
        <v>394.53</v>
      </c>
      <c r="J20" s="39">
        <v>0.27779999999999999</v>
      </c>
      <c r="K20" s="40">
        <f t="shared" si="8"/>
        <v>1008.260868</v>
      </c>
      <c r="L20" s="40">
        <f t="shared" si="9"/>
        <v>0</v>
      </c>
      <c r="M20" s="40">
        <f t="shared" si="10"/>
        <v>1008.260868</v>
      </c>
      <c r="O20" s="34">
        <v>0.5</v>
      </c>
      <c r="P20" s="35">
        <f>O20*$M20</f>
        <v>504.13043399999998</v>
      </c>
      <c r="Q20" s="34">
        <v>0.5</v>
      </c>
      <c r="R20" s="35">
        <f>Q20*$M20</f>
        <v>504.13043399999998</v>
      </c>
      <c r="S20" s="28"/>
      <c r="T20" s="28"/>
      <c r="V20" s="29">
        <f t="shared" si="11"/>
        <v>1</v>
      </c>
      <c r="W20" s="8">
        <f t="shared" si="12"/>
        <v>1008.260868</v>
      </c>
    </row>
    <row r="21" spans="1:23" x14ac:dyDescent="0.25">
      <c r="A21" s="6" t="s">
        <v>8</v>
      </c>
      <c r="B21" s="6" t="s">
        <v>12</v>
      </c>
      <c r="C21" s="19" t="s">
        <v>126</v>
      </c>
      <c r="D21" s="13" t="s">
        <v>25</v>
      </c>
      <c r="E21" s="14">
        <v>374.86</v>
      </c>
      <c r="F21" s="6" t="s">
        <v>23</v>
      </c>
      <c r="G21" s="42">
        <f>56.86+0.01</f>
        <v>56.87</v>
      </c>
      <c r="H21" s="42">
        <v>4.5199999999999996</v>
      </c>
      <c r="I21" s="38">
        <f t="shared" si="7"/>
        <v>61.39</v>
      </c>
      <c r="J21" s="39">
        <v>0.27779999999999999</v>
      </c>
      <c r="K21" s="40">
        <f t="shared" si="8"/>
        <v>27240.508661960001</v>
      </c>
      <c r="L21" s="40">
        <f t="shared" si="9"/>
        <v>2165.0624081599999</v>
      </c>
      <c r="M21" s="40">
        <f t="shared" si="10"/>
        <v>29405.571070120001</v>
      </c>
      <c r="O21" s="34">
        <v>1</v>
      </c>
      <c r="P21" s="35">
        <f>O21*$M21</f>
        <v>29405.571070120001</v>
      </c>
      <c r="Q21" s="28"/>
      <c r="R21" s="28"/>
      <c r="S21" s="28"/>
      <c r="T21" s="28"/>
      <c r="V21" s="29">
        <f t="shared" si="11"/>
        <v>1</v>
      </c>
      <c r="W21" s="8">
        <f t="shared" si="12"/>
        <v>29405.571070120001</v>
      </c>
    </row>
    <row r="22" spans="1:23" ht="45" x14ac:dyDescent="0.25">
      <c r="A22" s="6" t="s">
        <v>8</v>
      </c>
      <c r="B22" s="6" t="s">
        <v>13</v>
      </c>
      <c r="C22" s="19" t="s">
        <v>127</v>
      </c>
      <c r="D22" s="13" t="s">
        <v>26</v>
      </c>
      <c r="E22" s="14">
        <v>520.41</v>
      </c>
      <c r="F22" s="6" t="s">
        <v>23</v>
      </c>
      <c r="G22" s="42">
        <v>1.26</v>
      </c>
      <c r="H22" s="42">
        <v>2.23</v>
      </c>
      <c r="I22" s="38">
        <f t="shared" si="7"/>
        <v>3.49</v>
      </c>
      <c r="J22" s="39">
        <v>0.27779999999999999</v>
      </c>
      <c r="K22" s="40">
        <f t="shared" si="8"/>
        <v>837.87467147999996</v>
      </c>
      <c r="L22" s="40">
        <f t="shared" si="9"/>
        <v>1482.9051725399997</v>
      </c>
      <c r="M22" s="40">
        <f t="shared" si="10"/>
        <v>2320.7798440199999</v>
      </c>
      <c r="O22" s="34">
        <v>1</v>
      </c>
      <c r="P22" s="35">
        <f>O22*$M22</f>
        <v>2320.7798440199999</v>
      </c>
      <c r="Q22" s="28"/>
      <c r="R22" s="28"/>
      <c r="S22" s="28"/>
      <c r="T22" s="28"/>
      <c r="V22" s="29">
        <f t="shared" si="11"/>
        <v>1</v>
      </c>
      <c r="W22" s="8">
        <f t="shared" si="12"/>
        <v>2320.7798440199999</v>
      </c>
    </row>
    <row r="23" spans="1:23" x14ac:dyDescent="0.25">
      <c r="I23" s="32" t="s">
        <v>40</v>
      </c>
      <c r="J23" s="32"/>
      <c r="K23" s="33">
        <f t="shared" ref="K23:L23" si="13">SUM(K18:K22)</f>
        <v>32175.98126144</v>
      </c>
      <c r="L23" s="33">
        <f t="shared" si="13"/>
        <v>3883.9516846999995</v>
      </c>
      <c r="M23" s="33">
        <f>SUM(M18:M22)</f>
        <v>36059.932946139998</v>
      </c>
      <c r="P23" s="33">
        <f>SUM(P18:P22)</f>
        <v>35051.67207814</v>
      </c>
      <c r="R23" s="33">
        <f>SUM(R18:R22)</f>
        <v>1008.260868</v>
      </c>
      <c r="T23" s="33">
        <f>SUM(T18:T22)</f>
        <v>0</v>
      </c>
    </row>
    <row r="24" spans="1:23" ht="15.75" thickBot="1" x14ac:dyDescent="0.3"/>
    <row r="25" spans="1:23" ht="15.75" thickBot="1" x14ac:dyDescent="0.3">
      <c r="A25" s="95" t="s">
        <v>44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7"/>
    </row>
    <row r="26" spans="1:23" x14ac:dyDescent="0.25">
      <c r="A26" s="90" t="s">
        <v>43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1"/>
      <c r="O26" s="90"/>
      <c r="P26" s="90"/>
      <c r="Q26" s="90"/>
      <c r="R26" s="90"/>
      <c r="S26" s="90"/>
      <c r="T26" s="90"/>
    </row>
    <row r="27" spans="1:23" x14ac:dyDescent="0.25">
      <c r="A27" s="2" t="s">
        <v>2</v>
      </c>
      <c r="B27" s="3" t="s">
        <v>3</v>
      </c>
      <c r="C27" s="3" t="s">
        <v>4</v>
      </c>
      <c r="D27" s="3" t="s">
        <v>5</v>
      </c>
      <c r="E27" s="4" t="s">
        <v>6</v>
      </c>
      <c r="F27" s="3" t="s">
        <v>7</v>
      </c>
      <c r="G27" s="3" t="s">
        <v>33</v>
      </c>
      <c r="H27" s="3" t="s">
        <v>34</v>
      </c>
      <c r="I27" s="5" t="s">
        <v>35</v>
      </c>
      <c r="J27" s="5" t="s">
        <v>36</v>
      </c>
      <c r="K27" s="3" t="s">
        <v>37</v>
      </c>
      <c r="L27" s="3" t="s">
        <v>38</v>
      </c>
      <c r="M27" s="5" t="s">
        <v>39</v>
      </c>
    </row>
    <row r="28" spans="1:23" x14ac:dyDescent="0.25">
      <c r="A28" s="15" t="s">
        <v>16</v>
      </c>
      <c r="B28" s="15" t="s">
        <v>9</v>
      </c>
      <c r="C28" s="15" t="s">
        <v>17</v>
      </c>
      <c r="D28" s="16" t="s">
        <v>18</v>
      </c>
      <c r="E28" s="14">
        <v>1</v>
      </c>
      <c r="F28" s="7" t="s">
        <v>122</v>
      </c>
      <c r="G28" s="42">
        <v>218.54</v>
      </c>
      <c r="H28" s="42">
        <v>0</v>
      </c>
      <c r="I28" s="38">
        <f t="shared" ref="I28:I30" si="14">G28+H28</f>
        <v>218.54</v>
      </c>
      <c r="J28" s="39">
        <v>0.27779999999999999</v>
      </c>
      <c r="K28" s="40">
        <f t="shared" ref="K28:K30" si="15">$E28*G28*(1+$J28)</f>
        <v>279.25041199999998</v>
      </c>
      <c r="L28" s="40">
        <f t="shared" ref="L28:L30" si="16">$E28*H28*(1+$J28)</f>
        <v>0</v>
      </c>
      <c r="M28" s="40">
        <f t="shared" ref="M28:M30" si="17">$E28*I28*(1+$J28)</f>
        <v>279.25041199999998</v>
      </c>
      <c r="O28" s="34">
        <v>1</v>
      </c>
      <c r="P28" s="35">
        <f>O28*$M28</f>
        <v>279.25041199999998</v>
      </c>
      <c r="Q28" s="28"/>
      <c r="R28" s="28"/>
      <c r="S28" s="28"/>
      <c r="T28" s="28"/>
      <c r="V28" s="29">
        <f t="shared" ref="V28:V30" si="18">O28+Q28+S28</f>
        <v>1</v>
      </c>
      <c r="W28" s="8">
        <f t="shared" ref="W28:W30" si="19">P28+R28+T28</f>
        <v>279.25041199999998</v>
      </c>
    </row>
    <row r="29" spans="1:23" ht="30" x14ac:dyDescent="0.25">
      <c r="A29" s="6" t="s">
        <v>8</v>
      </c>
      <c r="B29" s="18" t="s">
        <v>10</v>
      </c>
      <c r="C29" s="15" t="s">
        <v>120</v>
      </c>
      <c r="D29" s="16" t="s">
        <v>20</v>
      </c>
      <c r="E29" s="17">
        <v>160</v>
      </c>
      <c r="F29" s="7" t="s">
        <v>67</v>
      </c>
      <c r="G29" s="42">
        <v>0.4</v>
      </c>
      <c r="H29" s="42">
        <v>70.260000000000005</v>
      </c>
      <c r="I29" s="38">
        <f t="shared" si="14"/>
        <v>70.660000000000011</v>
      </c>
      <c r="J29" s="39">
        <v>0.27779999999999999</v>
      </c>
      <c r="K29" s="40">
        <f t="shared" si="15"/>
        <v>81.779200000000003</v>
      </c>
      <c r="L29" s="40">
        <f t="shared" si="16"/>
        <v>14364.51648</v>
      </c>
      <c r="M29" s="40">
        <f t="shared" si="17"/>
        <v>14446.295680000003</v>
      </c>
      <c r="O29" s="28"/>
      <c r="P29" s="28"/>
      <c r="Q29" s="34">
        <v>0.5</v>
      </c>
      <c r="R29" s="35">
        <f>Q29*$M29</f>
        <v>7223.1478400000015</v>
      </c>
      <c r="S29" s="34">
        <v>0.5</v>
      </c>
      <c r="T29" s="35">
        <f>S29*$M29</f>
        <v>7223.1478400000015</v>
      </c>
      <c r="V29" s="29">
        <f t="shared" si="18"/>
        <v>1</v>
      </c>
      <c r="W29" s="8">
        <f t="shared" si="19"/>
        <v>14446.295680000003</v>
      </c>
    </row>
    <row r="30" spans="1:23" ht="30" x14ac:dyDescent="0.25">
      <c r="A30" s="6" t="s">
        <v>8</v>
      </c>
      <c r="B30" s="18" t="s">
        <v>11</v>
      </c>
      <c r="C30" s="15" t="s">
        <v>121</v>
      </c>
      <c r="D30" s="16" t="s">
        <v>21</v>
      </c>
      <c r="E30" s="9">
        <v>320</v>
      </c>
      <c r="F30" s="7" t="s">
        <v>67</v>
      </c>
      <c r="G30" s="42">
        <v>2.99</v>
      </c>
      <c r="H30" s="42">
        <v>19.010000000000002</v>
      </c>
      <c r="I30" s="38">
        <f t="shared" si="14"/>
        <v>22</v>
      </c>
      <c r="J30" s="39">
        <v>0.27779999999999999</v>
      </c>
      <c r="K30" s="40">
        <f t="shared" si="15"/>
        <v>1222.5990400000001</v>
      </c>
      <c r="L30" s="40">
        <f t="shared" si="16"/>
        <v>7773.1129600000013</v>
      </c>
      <c r="M30" s="40">
        <f t="shared" si="17"/>
        <v>8995.7119999999995</v>
      </c>
      <c r="O30" s="28"/>
      <c r="P30" s="28"/>
      <c r="Q30" s="34">
        <v>0.5</v>
      </c>
      <c r="R30" s="35">
        <f>Q30*$M30</f>
        <v>4497.8559999999998</v>
      </c>
      <c r="S30" s="34">
        <v>0.5</v>
      </c>
      <c r="T30" s="35">
        <f>S30*$M30</f>
        <v>4497.8559999999998</v>
      </c>
      <c r="V30" s="29">
        <f t="shared" si="18"/>
        <v>1</v>
      </c>
      <c r="W30" s="8">
        <f t="shared" si="19"/>
        <v>8995.7119999999995</v>
      </c>
    </row>
    <row r="31" spans="1:23" x14ac:dyDescent="0.25">
      <c r="A31" s="20"/>
      <c r="B31" s="21"/>
      <c r="C31" s="37"/>
      <c r="D31" s="22"/>
      <c r="E31" s="23"/>
      <c r="F31" s="24"/>
      <c r="G31" s="24"/>
      <c r="H31" s="24"/>
      <c r="I31" s="32" t="s">
        <v>40</v>
      </c>
      <c r="J31" s="32"/>
      <c r="K31" s="33">
        <f t="shared" ref="K31" si="20">SUM(K28:K30)</f>
        <v>1583.6286520000001</v>
      </c>
      <c r="L31" s="33">
        <f t="shared" ref="L31" si="21">SUM(L28:L30)</f>
        <v>22137.629440000001</v>
      </c>
      <c r="M31" s="33">
        <f>SUM(M28:M30)</f>
        <v>23721.258092000004</v>
      </c>
      <c r="P31" s="33">
        <f>SUM(P28:P30)</f>
        <v>279.25041199999998</v>
      </c>
      <c r="R31" s="33">
        <f>SUM(R28:R30)</f>
        <v>11721.003840000001</v>
      </c>
      <c r="T31" s="33">
        <f>SUM(T28:T30)</f>
        <v>11721.003840000001</v>
      </c>
    </row>
    <row r="32" spans="1:23" ht="15.75" thickBot="1" x14ac:dyDescent="0.3"/>
    <row r="33" spans="1:23" ht="15.75" thickBot="1" x14ac:dyDescent="0.3">
      <c r="A33" s="95" t="s">
        <v>45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7"/>
    </row>
    <row r="34" spans="1:23" ht="15.75" thickBot="1" x14ac:dyDescent="0.3">
      <c r="A34" s="90" t="s">
        <v>46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1"/>
      <c r="O34" s="90"/>
      <c r="P34" s="90"/>
      <c r="Q34" s="90"/>
      <c r="R34" s="90"/>
      <c r="S34" s="90"/>
      <c r="T34" s="90"/>
    </row>
    <row r="35" spans="1:23" x14ac:dyDescent="0.25">
      <c r="A35" s="10" t="s">
        <v>2</v>
      </c>
      <c r="B35" s="11" t="s">
        <v>3</v>
      </c>
      <c r="C35" s="11" t="s">
        <v>4</v>
      </c>
      <c r="D35" s="12" t="s">
        <v>5</v>
      </c>
      <c r="E35" s="4" t="s">
        <v>6</v>
      </c>
      <c r="F35" s="3" t="s">
        <v>7</v>
      </c>
      <c r="G35" s="3" t="s">
        <v>33</v>
      </c>
      <c r="H35" s="3" t="s">
        <v>34</v>
      </c>
      <c r="I35" s="5" t="s">
        <v>35</v>
      </c>
      <c r="J35" s="5" t="s">
        <v>36</v>
      </c>
      <c r="K35" s="3" t="s">
        <v>37</v>
      </c>
      <c r="L35" s="3" t="s">
        <v>38</v>
      </c>
      <c r="M35" s="5" t="s">
        <v>39</v>
      </c>
    </row>
    <row r="36" spans="1:23" ht="30" x14ac:dyDescent="0.25">
      <c r="A36" s="6" t="s">
        <v>8</v>
      </c>
      <c r="B36" s="6" t="s">
        <v>9</v>
      </c>
      <c r="C36" s="19" t="s">
        <v>128</v>
      </c>
      <c r="D36" s="13" t="s">
        <v>130</v>
      </c>
      <c r="E36" s="14">
        <v>433.28</v>
      </c>
      <c r="F36" s="6" t="s">
        <v>47</v>
      </c>
      <c r="G36" s="42">
        <v>7.05</v>
      </c>
      <c r="H36" s="42">
        <v>1.49</v>
      </c>
      <c r="I36" s="38">
        <f t="shared" ref="I36:I42" si="22">G36+H36</f>
        <v>8.5399999999999991</v>
      </c>
      <c r="J36" s="39">
        <v>0.27779999999999999</v>
      </c>
      <c r="K36" s="40">
        <f t="shared" ref="K36:K42" si="23">$E36*G36*(1+$J36)</f>
        <v>3903.1985471999997</v>
      </c>
      <c r="L36" s="40">
        <f t="shared" ref="L36:L42" si="24">$E36*H36*(1+$J36)</f>
        <v>824.93132415999992</v>
      </c>
      <c r="M36" s="40">
        <f t="shared" ref="M36:M42" si="25">$E36*I36*(1+$J36)</f>
        <v>4728.129871359999</v>
      </c>
      <c r="O36" s="28"/>
      <c r="P36" s="28"/>
      <c r="Q36" s="34">
        <v>1</v>
      </c>
      <c r="R36" s="35">
        <f t="shared" ref="R36:R42" si="26">Q36*$M36</f>
        <v>4728.129871359999</v>
      </c>
      <c r="S36" s="28"/>
      <c r="T36" s="28"/>
      <c r="V36" s="29">
        <f t="shared" ref="V36:V42" si="27">O36+Q36+S36</f>
        <v>1</v>
      </c>
      <c r="W36" s="8">
        <f t="shared" ref="W36:W42" si="28">P36+R36+T36</f>
        <v>4728.129871359999</v>
      </c>
    </row>
    <row r="37" spans="1:23" ht="30" x14ac:dyDescent="0.25">
      <c r="A37" s="6" t="s">
        <v>8</v>
      </c>
      <c r="B37" s="6" t="s">
        <v>10</v>
      </c>
      <c r="C37" s="19" t="s">
        <v>129</v>
      </c>
      <c r="D37" s="13" t="s">
        <v>131</v>
      </c>
      <c r="E37" s="14">
        <v>170</v>
      </c>
      <c r="F37" s="6" t="s">
        <v>47</v>
      </c>
      <c r="G37" s="42">
        <v>7.77</v>
      </c>
      <c r="H37" s="42">
        <v>4</v>
      </c>
      <c r="I37" s="38">
        <f t="shared" si="22"/>
        <v>11.77</v>
      </c>
      <c r="J37" s="39">
        <v>0.27779999999999999</v>
      </c>
      <c r="K37" s="40">
        <f t="shared" si="23"/>
        <v>1687.84602</v>
      </c>
      <c r="L37" s="40">
        <f t="shared" si="24"/>
        <v>868.904</v>
      </c>
      <c r="M37" s="40">
        <f t="shared" si="25"/>
        <v>2556.7500199999999</v>
      </c>
      <c r="O37" s="28"/>
      <c r="P37" s="28"/>
      <c r="Q37" s="34">
        <v>1</v>
      </c>
      <c r="R37" s="35">
        <f t="shared" si="26"/>
        <v>2556.7500199999999</v>
      </c>
      <c r="S37" s="28"/>
      <c r="T37" s="28"/>
      <c r="V37" s="29">
        <f t="shared" si="27"/>
        <v>1</v>
      </c>
      <c r="W37" s="8">
        <f t="shared" si="28"/>
        <v>2556.7500199999999</v>
      </c>
    </row>
    <row r="38" spans="1:23" ht="60" x14ac:dyDescent="0.25">
      <c r="A38" s="6" t="s">
        <v>8</v>
      </c>
      <c r="B38" s="6" t="s">
        <v>11</v>
      </c>
      <c r="C38" s="19" t="s">
        <v>132</v>
      </c>
      <c r="D38" s="13" t="s">
        <v>48</v>
      </c>
      <c r="E38" s="14">
        <v>266</v>
      </c>
      <c r="F38" s="6" t="s">
        <v>49</v>
      </c>
      <c r="G38" s="42">
        <f>7.59+21.79</f>
        <v>29.38</v>
      </c>
      <c r="H38" s="42">
        <v>17.29</v>
      </c>
      <c r="I38" s="38">
        <f t="shared" si="22"/>
        <v>46.67</v>
      </c>
      <c r="J38" s="39">
        <v>0.27779999999999999</v>
      </c>
      <c r="K38" s="40">
        <f t="shared" si="23"/>
        <v>9986.1092239999998</v>
      </c>
      <c r="L38" s="40">
        <f t="shared" si="24"/>
        <v>5876.7810919999993</v>
      </c>
      <c r="M38" s="40">
        <f t="shared" si="25"/>
        <v>15862.890316000003</v>
      </c>
      <c r="O38" s="28"/>
      <c r="P38" s="28"/>
      <c r="Q38" s="34">
        <v>1</v>
      </c>
      <c r="R38" s="35">
        <f t="shared" si="26"/>
        <v>15862.890316000003</v>
      </c>
      <c r="S38" s="28"/>
      <c r="T38" s="28"/>
      <c r="V38" s="29">
        <f t="shared" si="27"/>
        <v>1</v>
      </c>
      <c r="W38" s="8">
        <f t="shared" si="28"/>
        <v>15862.890316000003</v>
      </c>
    </row>
    <row r="39" spans="1:23" ht="30" x14ac:dyDescent="0.25">
      <c r="A39" s="6" t="s">
        <v>8</v>
      </c>
      <c r="B39" s="6" t="s">
        <v>12</v>
      </c>
      <c r="C39" s="19" t="s">
        <v>133</v>
      </c>
      <c r="D39" s="13" t="s">
        <v>50</v>
      </c>
      <c r="E39" s="14">
        <v>30.66</v>
      </c>
      <c r="F39" s="6" t="s">
        <v>51</v>
      </c>
      <c r="G39" s="42">
        <f>0.01+45.48+0.08</f>
        <v>45.569999999999993</v>
      </c>
      <c r="H39" s="42">
        <v>7.72</v>
      </c>
      <c r="I39" s="38">
        <f t="shared" si="22"/>
        <v>53.289999999999992</v>
      </c>
      <c r="J39" s="39">
        <v>0.27779999999999999</v>
      </c>
      <c r="K39" s="40">
        <f t="shared" si="23"/>
        <v>1785.3117483599999</v>
      </c>
      <c r="L39" s="40">
        <f t="shared" si="24"/>
        <v>302.44912656000002</v>
      </c>
      <c r="M39" s="40">
        <f t="shared" si="25"/>
        <v>2087.7608749199999</v>
      </c>
      <c r="O39" s="28"/>
      <c r="P39" s="28"/>
      <c r="Q39" s="34">
        <v>1</v>
      </c>
      <c r="R39" s="35">
        <f t="shared" si="26"/>
        <v>2087.7608749199999</v>
      </c>
      <c r="S39" s="28"/>
      <c r="T39" s="28"/>
      <c r="V39" s="29">
        <f t="shared" si="27"/>
        <v>1</v>
      </c>
      <c r="W39" s="8">
        <f t="shared" si="28"/>
        <v>2087.7608749199999</v>
      </c>
    </row>
    <row r="40" spans="1:23" ht="45" x14ac:dyDescent="0.25">
      <c r="A40" s="6" t="s">
        <v>8</v>
      </c>
      <c r="B40" s="6" t="s">
        <v>13</v>
      </c>
      <c r="C40" s="19" t="s">
        <v>134</v>
      </c>
      <c r="D40" s="13" t="s">
        <v>52</v>
      </c>
      <c r="E40" s="14">
        <v>5.6</v>
      </c>
      <c r="F40" s="6" t="s">
        <v>53</v>
      </c>
      <c r="G40" s="42">
        <f>0.51+259.69+0.49</f>
        <v>260.69</v>
      </c>
      <c r="H40" s="42">
        <v>42.16</v>
      </c>
      <c r="I40" s="38">
        <f t="shared" si="22"/>
        <v>302.85000000000002</v>
      </c>
      <c r="J40" s="39">
        <v>0.27779999999999999</v>
      </c>
      <c r="K40" s="40">
        <f t="shared" si="23"/>
        <v>1865.4142191999997</v>
      </c>
      <c r="L40" s="40">
        <f t="shared" si="24"/>
        <v>301.68346879999996</v>
      </c>
      <c r="M40" s="40">
        <f t="shared" si="25"/>
        <v>2167.0976880000003</v>
      </c>
      <c r="O40" s="28"/>
      <c r="P40" s="28"/>
      <c r="Q40" s="34">
        <v>1</v>
      </c>
      <c r="R40" s="35">
        <f t="shared" si="26"/>
        <v>2167.0976880000003</v>
      </c>
      <c r="S40" s="28"/>
      <c r="T40" s="28"/>
      <c r="V40" s="29">
        <f t="shared" si="27"/>
        <v>1</v>
      </c>
      <c r="W40" s="8">
        <f t="shared" si="28"/>
        <v>2167.0976880000003</v>
      </c>
    </row>
    <row r="41" spans="1:23" ht="30" x14ac:dyDescent="0.25">
      <c r="A41" s="6" t="s">
        <v>8</v>
      </c>
      <c r="B41" s="6" t="s">
        <v>54</v>
      </c>
      <c r="C41" s="19" t="s">
        <v>135</v>
      </c>
      <c r="D41" s="13" t="s">
        <v>55</v>
      </c>
      <c r="E41" s="14">
        <v>5.6</v>
      </c>
      <c r="F41" s="6" t="s">
        <v>53</v>
      </c>
      <c r="G41" s="42">
        <f>0.44+25.29+0.19</f>
        <v>25.92</v>
      </c>
      <c r="H41" s="42">
        <f>61.28</f>
        <v>61.28</v>
      </c>
      <c r="I41" s="38">
        <f t="shared" si="22"/>
        <v>87.2</v>
      </c>
      <c r="J41" s="39">
        <v>0.27779999999999999</v>
      </c>
      <c r="K41" s="40">
        <f t="shared" si="23"/>
        <v>185.47522559999999</v>
      </c>
      <c r="L41" s="40">
        <f t="shared" si="24"/>
        <v>438.50007040000003</v>
      </c>
      <c r="M41" s="40">
        <f t="shared" si="25"/>
        <v>623.97529599999996</v>
      </c>
      <c r="O41" s="28"/>
      <c r="P41" s="28"/>
      <c r="Q41" s="34">
        <v>1</v>
      </c>
      <c r="R41" s="35">
        <f t="shared" si="26"/>
        <v>623.97529599999996</v>
      </c>
      <c r="S41" s="28"/>
      <c r="T41" s="28"/>
      <c r="V41" s="29">
        <f t="shared" si="27"/>
        <v>1</v>
      </c>
      <c r="W41" s="8">
        <f t="shared" si="28"/>
        <v>623.97529599999996</v>
      </c>
    </row>
    <row r="42" spans="1:23" ht="30" x14ac:dyDescent="0.25">
      <c r="A42" s="6" t="s">
        <v>8</v>
      </c>
      <c r="B42" s="6" t="s">
        <v>56</v>
      </c>
      <c r="C42" s="19" t="s">
        <v>136</v>
      </c>
      <c r="D42" s="13" t="s">
        <v>57</v>
      </c>
      <c r="E42" s="14">
        <v>6.3</v>
      </c>
      <c r="F42" s="6" t="s">
        <v>53</v>
      </c>
      <c r="G42" s="42">
        <f>0.2+17.41</f>
        <v>17.61</v>
      </c>
      <c r="H42" s="42">
        <v>42.44</v>
      </c>
      <c r="I42" s="38">
        <f t="shared" si="22"/>
        <v>60.05</v>
      </c>
      <c r="J42" s="39">
        <v>0.27779999999999999</v>
      </c>
      <c r="K42" s="40">
        <f t="shared" si="23"/>
        <v>141.76296540000001</v>
      </c>
      <c r="L42" s="40">
        <f t="shared" si="24"/>
        <v>341.64794159999997</v>
      </c>
      <c r="M42" s="40">
        <f t="shared" si="25"/>
        <v>483.41090700000001</v>
      </c>
      <c r="O42" s="28"/>
      <c r="P42" s="28"/>
      <c r="Q42" s="34">
        <v>1</v>
      </c>
      <c r="R42" s="35">
        <f t="shared" si="26"/>
        <v>483.41090700000001</v>
      </c>
      <c r="S42" s="28"/>
      <c r="T42" s="28"/>
      <c r="V42" s="29">
        <f t="shared" si="27"/>
        <v>1</v>
      </c>
      <c r="W42" s="8">
        <f t="shared" si="28"/>
        <v>483.41090700000001</v>
      </c>
    </row>
    <row r="43" spans="1:23" x14ac:dyDescent="0.25">
      <c r="I43" s="32" t="s">
        <v>40</v>
      </c>
      <c r="J43" s="32"/>
      <c r="K43" s="33">
        <f t="shared" ref="K43:L43" si="29">SUM(K36:K42)</f>
        <v>19555.117949759999</v>
      </c>
      <c r="L43" s="33">
        <f t="shared" si="29"/>
        <v>8954.8970235199995</v>
      </c>
      <c r="M43" s="33">
        <f>SUM(M36:M42)</f>
        <v>28510.014973280006</v>
      </c>
      <c r="P43" s="33">
        <f>SUM(P36:P42)</f>
        <v>0</v>
      </c>
      <c r="R43" s="33">
        <f>SUM(R36:R42)</f>
        <v>28510.014973280006</v>
      </c>
      <c r="T43" s="33">
        <f>SUM(T36:T42)</f>
        <v>0</v>
      </c>
    </row>
    <row r="44" spans="1:23" ht="15.75" thickBot="1" x14ac:dyDescent="0.3"/>
    <row r="45" spans="1:23" ht="15.75" thickBot="1" x14ac:dyDescent="0.3">
      <c r="A45" s="90" t="s">
        <v>58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1"/>
      <c r="O45" s="90"/>
      <c r="P45" s="90"/>
      <c r="Q45" s="90"/>
      <c r="R45" s="90"/>
      <c r="S45" s="90"/>
      <c r="T45" s="90"/>
    </row>
    <row r="46" spans="1:23" x14ac:dyDescent="0.25">
      <c r="A46" s="10" t="s">
        <v>2</v>
      </c>
      <c r="B46" s="11" t="s">
        <v>3</v>
      </c>
      <c r="C46" s="11" t="s">
        <v>4</v>
      </c>
      <c r="D46" s="12" t="s">
        <v>5</v>
      </c>
      <c r="E46" s="4" t="s">
        <v>6</v>
      </c>
      <c r="F46" s="3" t="s">
        <v>7</v>
      </c>
      <c r="G46" s="3" t="s">
        <v>33</v>
      </c>
      <c r="H46" s="3" t="s">
        <v>34</v>
      </c>
      <c r="I46" s="5" t="s">
        <v>35</v>
      </c>
      <c r="J46" s="5" t="s">
        <v>36</v>
      </c>
      <c r="K46" s="3" t="s">
        <v>37</v>
      </c>
      <c r="L46" s="3" t="s">
        <v>38</v>
      </c>
      <c r="M46" s="5" t="s">
        <v>39</v>
      </c>
    </row>
    <row r="47" spans="1:23" ht="30" x14ac:dyDescent="0.25">
      <c r="A47" s="45" t="s">
        <v>59</v>
      </c>
      <c r="B47" s="45" t="s">
        <v>60</v>
      </c>
      <c r="C47" s="46" t="s">
        <v>61</v>
      </c>
      <c r="D47" s="13" t="s">
        <v>209</v>
      </c>
      <c r="E47" s="14">
        <v>18787.330000000002</v>
      </c>
      <c r="F47" s="6" t="s">
        <v>47</v>
      </c>
      <c r="G47" s="42">
        <v>8.5519199999999991</v>
      </c>
      <c r="H47" s="42">
        <v>6.7226999999999997</v>
      </c>
      <c r="I47" s="38">
        <f t="shared" ref="I47:I50" si="30">G47+H47</f>
        <v>15.274619999999999</v>
      </c>
      <c r="J47" s="39">
        <v>0.27779999999999999</v>
      </c>
      <c r="K47" s="40">
        <f t="shared" ref="K47:K50" si="31">$E47*G47*(1+$J47)</f>
        <v>205301.24222722609</v>
      </c>
      <c r="L47" s="40">
        <f t="shared" ref="L47:L50" si="32">$E47*H47*(1+$J47)</f>
        <v>161388.16325701983</v>
      </c>
      <c r="M47" s="40">
        <f t="shared" ref="M47:M50" si="33">$E47*I47*(1+$J47)</f>
        <v>366689.40548424586</v>
      </c>
      <c r="O47" s="28"/>
      <c r="P47" s="28"/>
      <c r="Q47" s="34">
        <v>0.3</v>
      </c>
      <c r="R47" s="35">
        <f>Q47*$M47</f>
        <v>110006.82164527375</v>
      </c>
      <c r="S47" s="34">
        <v>0.7</v>
      </c>
      <c r="T47" s="35">
        <f>S47*$M47</f>
        <v>256682.58383897209</v>
      </c>
      <c r="V47" s="29">
        <f t="shared" ref="V47:V50" si="34">O47+Q47+S47</f>
        <v>1</v>
      </c>
      <c r="W47" s="8">
        <f t="shared" ref="W47:W51" si="35">P47+R47+T47</f>
        <v>366689.40548424586</v>
      </c>
    </row>
    <row r="48" spans="1:23" ht="30" x14ac:dyDescent="0.25">
      <c r="A48" s="6" t="s">
        <v>8</v>
      </c>
      <c r="B48" s="6" t="s">
        <v>62</v>
      </c>
      <c r="C48" s="19" t="s">
        <v>137</v>
      </c>
      <c r="D48" s="13" t="s">
        <v>63</v>
      </c>
      <c r="E48" s="14">
        <v>430</v>
      </c>
      <c r="F48" s="6" t="s">
        <v>51</v>
      </c>
      <c r="G48" s="42">
        <f>0.01+8.33</f>
        <v>8.34</v>
      </c>
      <c r="H48" s="42">
        <v>7.68</v>
      </c>
      <c r="I48" s="38">
        <f t="shared" si="30"/>
        <v>16.02</v>
      </c>
      <c r="J48" s="39">
        <v>0.27779999999999999</v>
      </c>
      <c r="K48" s="40">
        <f t="shared" si="31"/>
        <v>4582.4463599999999</v>
      </c>
      <c r="L48" s="40">
        <f t="shared" si="32"/>
        <v>4219.8067200000005</v>
      </c>
      <c r="M48" s="40">
        <f t="shared" si="33"/>
        <v>8802.2530800000004</v>
      </c>
      <c r="O48" s="28"/>
      <c r="P48" s="28"/>
      <c r="Q48" s="28"/>
      <c r="R48" s="28"/>
      <c r="S48" s="34">
        <v>1</v>
      </c>
      <c r="T48" s="35">
        <f t="shared" ref="T48:T50" si="36">S48*$M48</f>
        <v>8802.2530800000004</v>
      </c>
      <c r="V48" s="29">
        <f t="shared" si="34"/>
        <v>1</v>
      </c>
      <c r="W48" s="8">
        <f t="shared" si="35"/>
        <v>8802.2530800000004</v>
      </c>
    </row>
    <row r="49" spans="1:23" ht="30" x14ac:dyDescent="0.25">
      <c r="A49" s="6" t="s">
        <v>8</v>
      </c>
      <c r="B49" s="6" t="s">
        <v>64</v>
      </c>
      <c r="C49" s="19" t="s">
        <v>138</v>
      </c>
      <c r="D49" s="13" t="s">
        <v>65</v>
      </c>
      <c r="E49" s="14">
        <v>430</v>
      </c>
      <c r="F49" s="6" t="s">
        <v>51</v>
      </c>
      <c r="G49" s="42">
        <f>0.04+10.62</f>
        <v>10.659999999999998</v>
      </c>
      <c r="H49" s="42">
        <v>10.69</v>
      </c>
      <c r="I49" s="38">
        <f t="shared" si="30"/>
        <v>21.349999999999998</v>
      </c>
      <c r="J49" s="39">
        <v>0.27779999999999999</v>
      </c>
      <c r="K49" s="40">
        <f t="shared" si="31"/>
        <v>5857.1796399999994</v>
      </c>
      <c r="L49" s="40">
        <f t="shared" si="32"/>
        <v>5873.6632600000003</v>
      </c>
      <c r="M49" s="40">
        <f t="shared" si="33"/>
        <v>11730.842899999998</v>
      </c>
      <c r="O49" s="28"/>
      <c r="P49" s="28"/>
      <c r="Q49" s="28"/>
      <c r="R49" s="28"/>
      <c r="S49" s="34">
        <v>1</v>
      </c>
      <c r="T49" s="35">
        <f t="shared" si="36"/>
        <v>11730.842899999998</v>
      </c>
      <c r="V49" s="29">
        <f t="shared" si="34"/>
        <v>1</v>
      </c>
      <c r="W49" s="8">
        <f t="shared" si="35"/>
        <v>11730.842899999998</v>
      </c>
    </row>
    <row r="50" spans="1:23" ht="45" x14ac:dyDescent="0.25">
      <c r="A50" s="6" t="s">
        <v>8</v>
      </c>
      <c r="B50" s="6" t="s">
        <v>140</v>
      </c>
      <c r="C50" s="19" t="s">
        <v>139</v>
      </c>
      <c r="D50" s="13" t="s">
        <v>66</v>
      </c>
      <c r="E50" s="14">
        <v>40</v>
      </c>
      <c r="F50" s="6" t="s">
        <v>67</v>
      </c>
      <c r="G50" s="42">
        <v>117.13</v>
      </c>
      <c r="H50" s="42">
        <v>0</v>
      </c>
      <c r="I50" s="38">
        <f t="shared" si="30"/>
        <v>117.13</v>
      </c>
      <c r="J50" s="39">
        <v>0.27779999999999999</v>
      </c>
      <c r="K50" s="40">
        <f t="shared" si="31"/>
        <v>5986.74856</v>
      </c>
      <c r="L50" s="40">
        <f t="shared" si="32"/>
        <v>0</v>
      </c>
      <c r="M50" s="40">
        <f t="shared" si="33"/>
        <v>5986.74856</v>
      </c>
      <c r="O50" s="28"/>
      <c r="P50" s="28"/>
      <c r="Q50" s="28"/>
      <c r="R50" s="28"/>
      <c r="S50" s="34">
        <v>1</v>
      </c>
      <c r="T50" s="35">
        <f t="shared" si="36"/>
        <v>5986.74856</v>
      </c>
      <c r="V50" s="29">
        <f t="shared" si="34"/>
        <v>1</v>
      </c>
      <c r="W50" s="8">
        <f t="shared" si="35"/>
        <v>5986.74856</v>
      </c>
    </row>
    <row r="51" spans="1:23" ht="30" x14ac:dyDescent="0.25">
      <c r="A51" s="43" t="s">
        <v>8</v>
      </c>
      <c r="B51" s="43" t="s">
        <v>141</v>
      </c>
      <c r="C51" s="44" t="s">
        <v>142</v>
      </c>
      <c r="D51" s="13" t="s">
        <v>143</v>
      </c>
      <c r="E51" s="14">
        <v>40</v>
      </c>
      <c r="F51" s="6" t="s">
        <v>67</v>
      </c>
      <c r="G51" s="42">
        <v>3.76</v>
      </c>
      <c r="H51" s="42">
        <v>17.82</v>
      </c>
      <c r="I51" s="38">
        <f t="shared" ref="I51" si="37">G51+H51</f>
        <v>21.58</v>
      </c>
      <c r="J51" s="39">
        <v>0.27779999999999999</v>
      </c>
      <c r="K51" s="40">
        <f t="shared" ref="K51" si="38">$E51*G51*(1+$J51)</f>
        <v>192.18111999999996</v>
      </c>
      <c r="L51" s="40">
        <f t="shared" ref="L51" si="39">$E51*H51*(1+$J51)</f>
        <v>910.81583999999998</v>
      </c>
      <c r="M51" s="40">
        <f t="shared" ref="M51" si="40">$E51*I51*(1+$J51)</f>
        <v>1102.9969599999999</v>
      </c>
      <c r="O51" s="28"/>
      <c r="P51" s="28"/>
      <c r="Q51" s="28"/>
      <c r="R51" s="28"/>
      <c r="S51" s="34">
        <v>1</v>
      </c>
      <c r="T51" s="35">
        <f t="shared" ref="T51" si="41">S51*$M51</f>
        <v>1102.9969599999999</v>
      </c>
      <c r="V51" s="29">
        <f t="shared" ref="V51" si="42">O51+Q51+S51</f>
        <v>1</v>
      </c>
      <c r="W51" s="8">
        <f t="shared" si="35"/>
        <v>1102.9969599999999</v>
      </c>
    </row>
    <row r="52" spans="1:23" x14ac:dyDescent="0.25">
      <c r="I52" s="32" t="s">
        <v>40</v>
      </c>
      <c r="J52" s="32"/>
      <c r="K52" s="33">
        <f t="shared" ref="K52:L52" si="43">SUM(K47:K51)</f>
        <v>221919.79790722608</v>
      </c>
      <c r="L52" s="33">
        <f t="shared" si="43"/>
        <v>172392.44907701982</v>
      </c>
      <c r="M52" s="33">
        <f>SUM(M47:M51)</f>
        <v>394312.24698424584</v>
      </c>
      <c r="P52" s="33">
        <f>SUM(P47:P51)</f>
        <v>0</v>
      </c>
      <c r="R52" s="33">
        <f>SUM(R47:R51)</f>
        <v>110006.82164527375</v>
      </c>
      <c r="T52" s="33">
        <f>SUM(T47:T51)</f>
        <v>284305.42533897207</v>
      </c>
    </row>
    <row r="53" spans="1:23" ht="15.75" thickBot="1" x14ac:dyDescent="0.3"/>
    <row r="54" spans="1:23" ht="15.75" thickBot="1" x14ac:dyDescent="0.3">
      <c r="A54" s="90" t="s">
        <v>68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1"/>
      <c r="O54" s="90"/>
      <c r="P54" s="90"/>
      <c r="Q54" s="90"/>
      <c r="R54" s="90"/>
      <c r="S54" s="90"/>
      <c r="T54" s="90"/>
    </row>
    <row r="55" spans="1:23" x14ac:dyDescent="0.25">
      <c r="A55" s="10" t="s">
        <v>2</v>
      </c>
      <c r="B55" s="11" t="s">
        <v>3</v>
      </c>
      <c r="C55" s="11" t="s">
        <v>4</v>
      </c>
      <c r="D55" s="12" t="s">
        <v>5</v>
      </c>
      <c r="E55" s="4" t="s">
        <v>6</v>
      </c>
      <c r="F55" s="3" t="s">
        <v>7</v>
      </c>
      <c r="G55" s="3" t="s">
        <v>33</v>
      </c>
      <c r="H55" s="3" t="s">
        <v>34</v>
      </c>
      <c r="I55" s="5" t="s">
        <v>35</v>
      </c>
      <c r="J55" s="5" t="s">
        <v>36</v>
      </c>
      <c r="K55" s="3" t="s">
        <v>37</v>
      </c>
      <c r="L55" s="3" t="s">
        <v>38</v>
      </c>
      <c r="M55" s="5" t="s">
        <v>39</v>
      </c>
    </row>
    <row r="56" spans="1:23" ht="30" x14ac:dyDescent="0.25">
      <c r="A56" s="6" t="s">
        <v>8</v>
      </c>
      <c r="B56" s="6" t="s">
        <v>69</v>
      </c>
      <c r="C56" s="19" t="s">
        <v>144</v>
      </c>
      <c r="D56" s="13" t="s">
        <v>70</v>
      </c>
      <c r="E56" s="14">
        <v>47.76</v>
      </c>
      <c r="F56" s="6" t="s">
        <v>51</v>
      </c>
      <c r="G56" s="42">
        <f>0.04+49.19</f>
        <v>49.23</v>
      </c>
      <c r="H56" s="42">
        <v>2.38</v>
      </c>
      <c r="I56" s="38">
        <f t="shared" ref="I56:I68" si="44">G56+H56</f>
        <v>51.61</v>
      </c>
      <c r="J56" s="39">
        <v>0.27779999999999999</v>
      </c>
      <c r="K56" s="40">
        <f t="shared" ref="K56:K68" si="45">$E56*G56*(1+$J56)</f>
        <v>3004.3950494400001</v>
      </c>
      <c r="L56" s="40">
        <f t="shared" ref="L56:L68" si="46">$E56*H56*(1+$J56)</f>
        <v>145.24599264</v>
      </c>
      <c r="M56" s="40">
        <f t="shared" ref="M56:M68" si="47">$E56*I56*(1+$J56)</f>
        <v>3149.6410420799998</v>
      </c>
      <c r="O56" s="28"/>
      <c r="P56" s="28"/>
      <c r="Q56" s="28"/>
      <c r="R56" s="28"/>
      <c r="S56" s="34">
        <v>1</v>
      </c>
      <c r="T56" s="35">
        <f t="shared" ref="T56:T63" si="48">S56*$M56</f>
        <v>3149.6410420799998</v>
      </c>
      <c r="V56" s="29">
        <f t="shared" ref="V56:V68" si="49">O56+Q56+S56</f>
        <v>1</v>
      </c>
      <c r="W56" s="8">
        <f t="shared" ref="W56:W68" si="50">P56+R56+T56</f>
        <v>3149.6410420799998</v>
      </c>
    </row>
    <row r="57" spans="1:23" x14ac:dyDescent="0.25">
      <c r="A57" s="6" t="s">
        <v>8</v>
      </c>
      <c r="B57" s="6" t="s">
        <v>71</v>
      </c>
      <c r="C57" s="19" t="s">
        <v>145</v>
      </c>
      <c r="D57" s="13" t="s">
        <v>72</v>
      </c>
      <c r="E57" s="14">
        <v>47.76</v>
      </c>
      <c r="F57" s="6" t="s">
        <v>51</v>
      </c>
      <c r="G57" s="42">
        <v>12.72</v>
      </c>
      <c r="H57" s="42">
        <v>2.31</v>
      </c>
      <c r="I57" s="38">
        <f t="shared" si="44"/>
        <v>15.030000000000001</v>
      </c>
      <c r="J57" s="39">
        <v>0.27779999999999999</v>
      </c>
      <c r="K57" s="40">
        <f t="shared" si="45"/>
        <v>776.27270016</v>
      </c>
      <c r="L57" s="40">
        <f t="shared" si="46"/>
        <v>140.97405168</v>
      </c>
      <c r="M57" s="40">
        <f t="shared" si="47"/>
        <v>917.24675184000012</v>
      </c>
      <c r="O57" s="28"/>
      <c r="P57" s="28"/>
      <c r="Q57" s="28"/>
      <c r="R57" s="28"/>
      <c r="S57" s="34">
        <v>1</v>
      </c>
      <c r="T57" s="35">
        <f t="shared" si="48"/>
        <v>917.24675184000012</v>
      </c>
      <c r="V57" s="29">
        <f t="shared" si="49"/>
        <v>1</v>
      </c>
      <c r="W57" s="8">
        <f t="shared" si="50"/>
        <v>917.24675184000012</v>
      </c>
    </row>
    <row r="58" spans="1:23" ht="45" x14ac:dyDescent="0.25">
      <c r="A58" s="6" t="s">
        <v>8</v>
      </c>
      <c r="B58" s="6" t="s">
        <v>73</v>
      </c>
      <c r="C58" s="19" t="s">
        <v>146</v>
      </c>
      <c r="D58" s="13" t="s">
        <v>74</v>
      </c>
      <c r="E58" s="14">
        <v>47.76</v>
      </c>
      <c r="F58" s="6" t="s">
        <v>51</v>
      </c>
      <c r="G58" s="42">
        <f>0.12+45.4</f>
        <v>45.519999999999996</v>
      </c>
      <c r="H58" s="42">
        <v>5.62</v>
      </c>
      <c r="I58" s="38">
        <f t="shared" si="44"/>
        <v>51.139999999999993</v>
      </c>
      <c r="J58" s="39">
        <v>0.27779999999999999</v>
      </c>
      <c r="K58" s="40">
        <f t="shared" si="45"/>
        <v>2777.9821785599997</v>
      </c>
      <c r="L58" s="40">
        <f t="shared" si="46"/>
        <v>342.97583136000003</v>
      </c>
      <c r="M58" s="40">
        <f t="shared" si="47"/>
        <v>3120.9580099199998</v>
      </c>
      <c r="O58" s="28"/>
      <c r="P58" s="28"/>
      <c r="Q58" s="28"/>
      <c r="R58" s="28"/>
      <c r="S58" s="34">
        <v>1</v>
      </c>
      <c r="T58" s="35">
        <f t="shared" si="48"/>
        <v>3120.9580099199998</v>
      </c>
      <c r="V58" s="29">
        <f t="shared" si="49"/>
        <v>1</v>
      </c>
      <c r="W58" s="8">
        <f t="shared" si="50"/>
        <v>3120.9580099199998</v>
      </c>
    </row>
    <row r="59" spans="1:23" x14ac:dyDescent="0.25">
      <c r="A59" s="6" t="s">
        <v>8</v>
      </c>
      <c r="B59" s="6" t="s">
        <v>75</v>
      </c>
      <c r="C59" s="19" t="s">
        <v>147</v>
      </c>
      <c r="D59" s="13" t="s">
        <v>76</v>
      </c>
      <c r="E59" s="14">
        <v>76.5</v>
      </c>
      <c r="F59" s="6" t="s">
        <v>51</v>
      </c>
      <c r="G59" s="42">
        <v>4.26</v>
      </c>
      <c r="H59" s="42">
        <v>1.91</v>
      </c>
      <c r="I59" s="38">
        <f t="shared" si="44"/>
        <v>6.17</v>
      </c>
      <c r="J59" s="39">
        <v>0.27779999999999999</v>
      </c>
      <c r="K59" s="40">
        <f t="shared" si="45"/>
        <v>416.42224199999998</v>
      </c>
      <c r="L59" s="40">
        <f t="shared" si="46"/>
        <v>186.70574699999997</v>
      </c>
      <c r="M59" s="40">
        <f t="shared" si="47"/>
        <v>603.12798900000007</v>
      </c>
      <c r="O59" s="28"/>
      <c r="P59" s="28"/>
      <c r="Q59" s="28"/>
      <c r="R59" s="28"/>
      <c r="S59" s="34">
        <v>1</v>
      </c>
      <c r="T59" s="35">
        <f t="shared" si="48"/>
        <v>603.12798900000007</v>
      </c>
      <c r="V59" s="29">
        <f t="shared" si="49"/>
        <v>1</v>
      </c>
      <c r="W59" s="8">
        <f t="shared" si="50"/>
        <v>603.12798900000007</v>
      </c>
    </row>
    <row r="60" spans="1:23" ht="30" x14ac:dyDescent="0.25">
      <c r="A60" s="6" t="s">
        <v>8</v>
      </c>
      <c r="B60" s="6" t="s">
        <v>77</v>
      </c>
      <c r="C60" s="19" t="s">
        <v>167</v>
      </c>
      <c r="D60" s="13" t="s">
        <v>78</v>
      </c>
      <c r="E60" s="14">
        <v>48.5</v>
      </c>
      <c r="F60" s="6" t="s">
        <v>51</v>
      </c>
      <c r="G60" s="42">
        <f>0.24+26.08</f>
        <v>26.319999999999997</v>
      </c>
      <c r="H60" s="42">
        <v>0.4</v>
      </c>
      <c r="I60" s="38">
        <f t="shared" si="44"/>
        <v>26.719999999999995</v>
      </c>
      <c r="J60" s="39">
        <v>0.27779999999999999</v>
      </c>
      <c r="K60" s="40">
        <f t="shared" si="45"/>
        <v>1631.1372559999998</v>
      </c>
      <c r="L60" s="40">
        <f t="shared" si="46"/>
        <v>24.789320000000004</v>
      </c>
      <c r="M60" s="40">
        <f t="shared" si="47"/>
        <v>1655.9265759999998</v>
      </c>
      <c r="O60" s="28"/>
      <c r="P60" s="28"/>
      <c r="Q60" s="28"/>
      <c r="R60" s="28"/>
      <c r="S60" s="34">
        <v>1</v>
      </c>
      <c r="T60" s="35">
        <f t="shared" si="48"/>
        <v>1655.9265759999998</v>
      </c>
      <c r="V60" s="29">
        <f t="shared" si="49"/>
        <v>1</v>
      </c>
      <c r="W60" s="8">
        <f t="shared" si="50"/>
        <v>1655.9265759999998</v>
      </c>
    </row>
    <row r="61" spans="1:23" ht="30" x14ac:dyDescent="0.25">
      <c r="A61" s="78" t="s">
        <v>207</v>
      </c>
      <c r="B61" s="45" t="s">
        <v>79</v>
      </c>
      <c r="C61" s="46" t="s">
        <v>168</v>
      </c>
      <c r="D61" s="13" t="s">
        <v>80</v>
      </c>
      <c r="E61" s="27">
        <v>65</v>
      </c>
      <c r="F61" s="6" t="s">
        <v>122</v>
      </c>
      <c r="G61" s="42">
        <v>25.650400000000001</v>
      </c>
      <c r="H61" s="42">
        <v>2.9723999999999999</v>
      </c>
      <c r="I61" s="38">
        <f t="shared" si="44"/>
        <v>28.622800000000002</v>
      </c>
      <c r="J61" s="39">
        <v>0.27779999999999999</v>
      </c>
      <c r="K61" s="40">
        <f t="shared" si="45"/>
        <v>2130.4452728000001</v>
      </c>
      <c r="L61" s="40">
        <f t="shared" si="46"/>
        <v>246.87862680000001</v>
      </c>
      <c r="M61" s="40">
        <f t="shared" si="47"/>
        <v>2377.3238996000005</v>
      </c>
      <c r="O61" s="28"/>
      <c r="P61" s="28"/>
      <c r="Q61" s="28"/>
      <c r="R61" s="28"/>
      <c r="S61" s="34">
        <v>1</v>
      </c>
      <c r="T61" s="35">
        <f t="shared" si="48"/>
        <v>2377.3238996000005</v>
      </c>
      <c r="V61" s="29">
        <f t="shared" si="49"/>
        <v>1</v>
      </c>
      <c r="W61" s="8">
        <f t="shared" si="50"/>
        <v>2377.3238996000005</v>
      </c>
    </row>
    <row r="62" spans="1:23" ht="30" x14ac:dyDescent="0.25">
      <c r="A62" s="6" t="s">
        <v>8</v>
      </c>
      <c r="B62" s="6" t="s">
        <v>81</v>
      </c>
      <c r="C62" s="19" t="s">
        <v>148</v>
      </c>
      <c r="D62" s="13" t="s">
        <v>82</v>
      </c>
      <c r="E62" s="14">
        <v>5</v>
      </c>
      <c r="F62" s="6" t="s">
        <v>122</v>
      </c>
      <c r="G62" s="42">
        <f>0.01+81.42</f>
        <v>81.430000000000007</v>
      </c>
      <c r="H62" s="42">
        <v>3.64</v>
      </c>
      <c r="I62" s="38">
        <f t="shared" si="44"/>
        <v>85.070000000000007</v>
      </c>
      <c r="J62" s="39">
        <v>0.27779999999999999</v>
      </c>
      <c r="K62" s="40">
        <f t="shared" si="45"/>
        <v>520.25627000000009</v>
      </c>
      <c r="L62" s="40">
        <f t="shared" si="46"/>
        <v>23.255959999999998</v>
      </c>
      <c r="M62" s="40">
        <f t="shared" si="47"/>
        <v>543.51223000000005</v>
      </c>
      <c r="O62" s="28"/>
      <c r="P62" s="28"/>
      <c r="Q62" s="28"/>
      <c r="R62" s="28"/>
      <c r="S62" s="34">
        <v>1</v>
      </c>
      <c r="T62" s="35">
        <f t="shared" si="48"/>
        <v>543.51223000000005</v>
      </c>
      <c r="V62" s="29">
        <f t="shared" si="49"/>
        <v>1</v>
      </c>
      <c r="W62" s="8">
        <f t="shared" si="50"/>
        <v>543.51223000000005</v>
      </c>
    </row>
    <row r="63" spans="1:23" ht="30" x14ac:dyDescent="0.25">
      <c r="A63" s="6" t="s">
        <v>8</v>
      </c>
      <c r="B63" s="6" t="s">
        <v>83</v>
      </c>
      <c r="C63" s="19" t="s">
        <v>149</v>
      </c>
      <c r="D63" s="13" t="s">
        <v>84</v>
      </c>
      <c r="E63" s="14">
        <v>20</v>
      </c>
      <c r="F63" s="6" t="s">
        <v>122</v>
      </c>
      <c r="G63" s="42">
        <f>0.03+46.27</f>
        <v>46.300000000000004</v>
      </c>
      <c r="H63" s="42">
        <v>8.75</v>
      </c>
      <c r="I63" s="38">
        <f t="shared" si="44"/>
        <v>55.050000000000004</v>
      </c>
      <c r="J63" s="39">
        <v>0.27779999999999999</v>
      </c>
      <c r="K63" s="40">
        <f t="shared" si="45"/>
        <v>1183.2428000000002</v>
      </c>
      <c r="L63" s="40">
        <f t="shared" si="46"/>
        <v>223.61500000000001</v>
      </c>
      <c r="M63" s="40">
        <f t="shared" si="47"/>
        <v>1406.8578</v>
      </c>
      <c r="O63" s="28"/>
      <c r="P63" s="28"/>
      <c r="Q63" s="28"/>
      <c r="R63" s="28"/>
      <c r="S63" s="34">
        <v>1</v>
      </c>
      <c r="T63" s="35">
        <f t="shared" si="48"/>
        <v>1406.8578</v>
      </c>
      <c r="V63" s="29">
        <f t="shared" si="49"/>
        <v>1</v>
      </c>
      <c r="W63" s="8">
        <f t="shared" si="50"/>
        <v>1406.8578</v>
      </c>
    </row>
    <row r="64" spans="1:23" ht="30" x14ac:dyDescent="0.25">
      <c r="A64" s="6" t="s">
        <v>8</v>
      </c>
      <c r="B64" s="6" t="s">
        <v>85</v>
      </c>
      <c r="C64" s="19" t="s">
        <v>150</v>
      </c>
      <c r="D64" s="13" t="s">
        <v>86</v>
      </c>
      <c r="E64" s="14">
        <v>2</v>
      </c>
      <c r="F64" s="6" t="s">
        <v>122</v>
      </c>
      <c r="G64" s="42">
        <f>0.14+12.62</f>
        <v>12.76</v>
      </c>
      <c r="H64" s="42">
        <v>32.22</v>
      </c>
      <c r="I64" s="38">
        <f t="shared" si="44"/>
        <v>44.98</v>
      </c>
      <c r="J64" s="39">
        <v>0.27779999999999999</v>
      </c>
      <c r="K64" s="40">
        <f t="shared" si="45"/>
        <v>32.609456000000002</v>
      </c>
      <c r="L64" s="40">
        <f t="shared" si="46"/>
        <v>82.341431999999998</v>
      </c>
      <c r="M64" s="40">
        <f t="shared" si="47"/>
        <v>114.95088799999999</v>
      </c>
      <c r="O64" s="34">
        <v>1</v>
      </c>
      <c r="P64" s="35">
        <f t="shared" ref="P64:P65" si="51">O64*$M64</f>
        <v>114.95088799999999</v>
      </c>
      <c r="Q64" s="28"/>
      <c r="R64" s="28"/>
      <c r="S64" s="28"/>
      <c r="T64" s="28"/>
      <c r="V64" s="29">
        <f t="shared" si="49"/>
        <v>1</v>
      </c>
      <c r="W64" s="8">
        <f t="shared" si="50"/>
        <v>114.95088799999999</v>
      </c>
    </row>
    <row r="65" spans="1:23" ht="45" x14ac:dyDescent="0.25">
      <c r="A65" s="6" t="s">
        <v>8</v>
      </c>
      <c r="B65" s="6" t="s">
        <v>87</v>
      </c>
      <c r="C65" s="19" t="s">
        <v>151</v>
      </c>
      <c r="D65" s="13" t="s">
        <v>88</v>
      </c>
      <c r="E65" s="14">
        <v>2</v>
      </c>
      <c r="F65" s="6" t="s">
        <v>122</v>
      </c>
      <c r="G65" s="42">
        <f>28.41+29.4</f>
        <v>57.81</v>
      </c>
      <c r="H65" s="42">
        <v>60.04</v>
      </c>
      <c r="I65" s="38">
        <f t="shared" si="44"/>
        <v>117.85</v>
      </c>
      <c r="J65" s="39">
        <v>0.27779999999999999</v>
      </c>
      <c r="K65" s="40">
        <f t="shared" si="45"/>
        <v>147.73923600000001</v>
      </c>
      <c r="L65" s="40">
        <f t="shared" si="46"/>
        <v>153.43822399999999</v>
      </c>
      <c r="M65" s="40">
        <f t="shared" si="47"/>
        <v>301.17746</v>
      </c>
      <c r="O65" s="34">
        <v>1</v>
      </c>
      <c r="P65" s="35">
        <f t="shared" si="51"/>
        <v>301.17746</v>
      </c>
      <c r="Q65" s="28"/>
      <c r="R65" s="28"/>
      <c r="S65" s="28"/>
      <c r="T65" s="28"/>
      <c r="V65" s="29">
        <f t="shared" si="49"/>
        <v>1</v>
      </c>
      <c r="W65" s="8">
        <f t="shared" si="50"/>
        <v>301.17746</v>
      </c>
    </row>
    <row r="66" spans="1:23" x14ac:dyDescent="0.25">
      <c r="A66" s="6" t="s">
        <v>8</v>
      </c>
      <c r="B66" s="6" t="s">
        <v>89</v>
      </c>
      <c r="C66" s="19" t="s">
        <v>152</v>
      </c>
      <c r="D66" s="13" t="s">
        <v>90</v>
      </c>
      <c r="E66" s="14">
        <v>20</v>
      </c>
      <c r="F66" s="6" t="s">
        <v>122</v>
      </c>
      <c r="G66" s="42">
        <f>0.1+64.4</f>
        <v>64.5</v>
      </c>
      <c r="H66" s="42">
        <v>26.5</v>
      </c>
      <c r="I66" s="38">
        <f t="shared" si="44"/>
        <v>91</v>
      </c>
      <c r="J66" s="39">
        <v>0.27779999999999999</v>
      </c>
      <c r="K66" s="40">
        <f t="shared" si="45"/>
        <v>1648.3620000000001</v>
      </c>
      <c r="L66" s="40">
        <f t="shared" si="46"/>
        <v>677.23400000000004</v>
      </c>
      <c r="M66" s="40">
        <f t="shared" si="47"/>
        <v>2325.596</v>
      </c>
      <c r="O66" s="28"/>
      <c r="P66" s="28"/>
      <c r="Q66" s="28"/>
      <c r="R66" s="28"/>
      <c r="S66" s="34">
        <v>1</v>
      </c>
      <c r="T66" s="35">
        <f t="shared" ref="T66:T68" si="52">S66*$M66</f>
        <v>2325.596</v>
      </c>
      <c r="V66" s="29">
        <f t="shared" si="49"/>
        <v>1</v>
      </c>
      <c r="W66" s="8">
        <f t="shared" si="50"/>
        <v>2325.596</v>
      </c>
    </row>
    <row r="67" spans="1:23" ht="45" x14ac:dyDescent="0.25">
      <c r="A67" s="6" t="s">
        <v>8</v>
      </c>
      <c r="B67" s="6" t="s">
        <v>91</v>
      </c>
      <c r="C67" s="19" t="s">
        <v>153</v>
      </c>
      <c r="D67" s="13" t="s">
        <v>92</v>
      </c>
      <c r="E67" s="14">
        <v>12</v>
      </c>
      <c r="F67" s="6" t="s">
        <v>49</v>
      </c>
      <c r="G67" s="42">
        <v>36.799999999999997</v>
      </c>
      <c r="H67" s="42">
        <v>3.75</v>
      </c>
      <c r="I67" s="38">
        <f t="shared" si="44"/>
        <v>40.549999999999997</v>
      </c>
      <c r="J67" s="39">
        <v>0.27779999999999999</v>
      </c>
      <c r="K67" s="40">
        <f t="shared" si="45"/>
        <v>564.27647999999999</v>
      </c>
      <c r="L67" s="40">
        <f t="shared" si="46"/>
        <v>57.501000000000005</v>
      </c>
      <c r="M67" s="40">
        <f t="shared" si="47"/>
        <v>621.77747999999997</v>
      </c>
      <c r="O67" s="28"/>
      <c r="P67" s="28"/>
      <c r="Q67" s="28"/>
      <c r="R67" s="28"/>
      <c r="S67" s="34">
        <v>1</v>
      </c>
      <c r="T67" s="35">
        <f t="shared" si="52"/>
        <v>621.77747999999997</v>
      </c>
      <c r="V67" s="29">
        <f t="shared" si="49"/>
        <v>1</v>
      </c>
      <c r="W67" s="8">
        <f t="shared" si="50"/>
        <v>621.77747999999997</v>
      </c>
    </row>
    <row r="68" spans="1:23" ht="45" x14ac:dyDescent="0.25">
      <c r="A68" s="6" t="s">
        <v>8</v>
      </c>
      <c r="B68" s="6" t="s">
        <v>91</v>
      </c>
      <c r="C68" s="19" t="s">
        <v>154</v>
      </c>
      <c r="D68" s="13" t="s">
        <v>93</v>
      </c>
      <c r="E68" s="14">
        <v>20</v>
      </c>
      <c r="F68" s="6" t="s">
        <v>49</v>
      </c>
      <c r="G68" s="42">
        <f>0.88+11.28</f>
        <v>12.16</v>
      </c>
      <c r="H68" s="42">
        <v>9.59</v>
      </c>
      <c r="I68" s="38">
        <f t="shared" si="44"/>
        <v>21.75</v>
      </c>
      <c r="J68" s="39">
        <v>0.27779999999999999</v>
      </c>
      <c r="K68" s="40">
        <f t="shared" si="45"/>
        <v>310.76096000000001</v>
      </c>
      <c r="L68" s="40">
        <f t="shared" si="46"/>
        <v>245.08204000000003</v>
      </c>
      <c r="M68" s="40">
        <f t="shared" si="47"/>
        <v>555.84300000000007</v>
      </c>
      <c r="O68" s="28"/>
      <c r="P68" s="28"/>
      <c r="Q68" s="28"/>
      <c r="R68" s="28"/>
      <c r="S68" s="34">
        <v>1</v>
      </c>
      <c r="T68" s="35">
        <f t="shared" si="52"/>
        <v>555.84300000000007</v>
      </c>
      <c r="V68" s="29">
        <f t="shared" si="49"/>
        <v>1</v>
      </c>
      <c r="W68" s="8">
        <f t="shared" si="50"/>
        <v>555.84300000000007</v>
      </c>
    </row>
    <row r="69" spans="1:23" x14ac:dyDescent="0.25">
      <c r="I69" s="32" t="s">
        <v>40</v>
      </c>
      <c r="J69" s="32"/>
      <c r="K69" s="33">
        <f t="shared" ref="K69:L69" si="53">SUM(K56:K68)</f>
        <v>15143.901900959998</v>
      </c>
      <c r="L69" s="33">
        <f t="shared" si="53"/>
        <v>2550.0372254800004</v>
      </c>
      <c r="M69" s="33">
        <f>SUM(M56:M68)</f>
        <v>17693.939126440004</v>
      </c>
      <c r="P69" s="33">
        <f>SUM(P56:P68)</f>
        <v>416.12834799999996</v>
      </c>
      <c r="R69" s="33">
        <f>SUM(R56:R68)</f>
        <v>0</v>
      </c>
      <c r="T69" s="33">
        <f>SUM(T56:T68)</f>
        <v>17277.810778440002</v>
      </c>
    </row>
    <row r="70" spans="1:23" ht="15.75" thickBot="1" x14ac:dyDescent="0.3"/>
    <row r="71" spans="1:23" ht="15.75" thickBot="1" x14ac:dyDescent="0.3">
      <c r="A71" s="95" t="s">
        <v>94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7"/>
    </row>
    <row r="72" spans="1:23" x14ac:dyDescent="0.25">
      <c r="A72" s="90" t="s">
        <v>95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1"/>
      <c r="O72" s="90"/>
      <c r="P72" s="90"/>
      <c r="Q72" s="90"/>
      <c r="R72" s="90"/>
      <c r="S72" s="90"/>
      <c r="T72" s="90"/>
    </row>
    <row r="73" spans="1:23" x14ac:dyDescent="0.25">
      <c r="A73" s="2" t="s">
        <v>2</v>
      </c>
      <c r="B73" s="3" t="s">
        <v>3</v>
      </c>
      <c r="C73" s="3" t="s">
        <v>4</v>
      </c>
      <c r="D73" s="3" t="s">
        <v>5</v>
      </c>
      <c r="E73" s="4" t="s">
        <v>6</v>
      </c>
      <c r="F73" s="3" t="s">
        <v>7</v>
      </c>
      <c r="G73" s="3" t="s">
        <v>33</v>
      </c>
      <c r="H73" s="3" t="s">
        <v>34</v>
      </c>
      <c r="I73" s="5" t="s">
        <v>35</v>
      </c>
      <c r="J73" s="5" t="s">
        <v>36</v>
      </c>
      <c r="K73" s="3" t="s">
        <v>37</v>
      </c>
      <c r="L73" s="3" t="s">
        <v>38</v>
      </c>
      <c r="M73" s="5" t="s">
        <v>39</v>
      </c>
    </row>
    <row r="74" spans="1:23" x14ac:dyDescent="0.25">
      <c r="A74" s="15" t="s">
        <v>16</v>
      </c>
      <c r="B74" s="15" t="s">
        <v>9</v>
      </c>
      <c r="C74" s="15" t="s">
        <v>17</v>
      </c>
      <c r="D74" s="16" t="s">
        <v>18</v>
      </c>
      <c r="E74" s="14">
        <v>1</v>
      </c>
      <c r="F74" s="7" t="s">
        <v>122</v>
      </c>
      <c r="G74" s="42">
        <v>218.54</v>
      </c>
      <c r="H74" s="42">
        <v>0</v>
      </c>
      <c r="I74" s="38">
        <f t="shared" ref="I74" si="54">G74+H74</f>
        <v>218.54</v>
      </c>
      <c r="J74" s="39">
        <v>0.27779999999999999</v>
      </c>
      <c r="K74" s="40">
        <f t="shared" ref="K74" si="55">$E74*G74*(1+$J74)</f>
        <v>279.25041199999998</v>
      </c>
      <c r="L74" s="40">
        <f t="shared" ref="L74" si="56">$E74*H74*(1+$J74)</f>
        <v>0</v>
      </c>
      <c r="M74" s="40">
        <f t="shared" ref="M74" si="57">$E74*I74*(1+$J74)</f>
        <v>279.25041199999998</v>
      </c>
      <c r="O74" s="34">
        <v>1</v>
      </c>
      <c r="P74" s="35">
        <f t="shared" ref="P74:P76" si="58">O74*$M74</f>
        <v>279.25041199999998</v>
      </c>
      <c r="Q74" s="28"/>
      <c r="R74" s="28"/>
      <c r="S74" s="28"/>
      <c r="T74" s="28"/>
      <c r="V74" s="29">
        <f t="shared" ref="V74:V76" si="59">O74+Q74+S74</f>
        <v>1</v>
      </c>
      <c r="W74" s="8">
        <f t="shared" ref="W74:W76" si="60">P74+R74+T74</f>
        <v>279.25041199999998</v>
      </c>
    </row>
    <row r="75" spans="1:23" ht="30" x14ac:dyDescent="0.25">
      <c r="A75" s="6" t="s">
        <v>8</v>
      </c>
      <c r="B75" s="18" t="s">
        <v>10</v>
      </c>
      <c r="C75" s="15" t="s">
        <v>120</v>
      </c>
      <c r="D75" s="16" t="s">
        <v>20</v>
      </c>
      <c r="E75" s="14">
        <v>20</v>
      </c>
      <c r="F75" s="7" t="s">
        <v>67</v>
      </c>
      <c r="G75" s="42">
        <v>0.4</v>
      </c>
      <c r="H75" s="42">
        <v>70.260000000000005</v>
      </c>
      <c r="I75" s="38">
        <f t="shared" ref="I75:I76" si="61">G75+H75</f>
        <v>70.660000000000011</v>
      </c>
      <c r="J75" s="39">
        <v>0.27779999999999999</v>
      </c>
      <c r="K75" s="40">
        <f t="shared" ref="K75:K76" si="62">$E75*G75*(1+$J75)</f>
        <v>10.2224</v>
      </c>
      <c r="L75" s="40">
        <f t="shared" ref="L75:L76" si="63">$E75*H75*(1+$J75)</f>
        <v>1795.56456</v>
      </c>
      <c r="M75" s="40">
        <f t="shared" ref="M75:M76" si="64">$E75*I75*(1+$J75)</f>
        <v>1805.7869600000004</v>
      </c>
      <c r="O75" s="34">
        <v>0.8</v>
      </c>
      <c r="P75" s="35">
        <f t="shared" si="58"/>
        <v>1444.6295680000003</v>
      </c>
      <c r="Q75" s="28"/>
      <c r="R75" s="28"/>
      <c r="S75" s="34">
        <v>0.2</v>
      </c>
      <c r="T75" s="35">
        <f t="shared" ref="T75:T76" si="65">S75*$M75</f>
        <v>361.15739200000007</v>
      </c>
      <c r="V75" s="29">
        <f t="shared" si="59"/>
        <v>1</v>
      </c>
      <c r="W75" s="8">
        <f t="shared" si="60"/>
        <v>1805.7869600000004</v>
      </c>
    </row>
    <row r="76" spans="1:23" ht="30" x14ac:dyDescent="0.25">
      <c r="A76" s="6" t="s">
        <v>8</v>
      </c>
      <c r="B76" s="18" t="s">
        <v>11</v>
      </c>
      <c r="C76" s="15" t="s">
        <v>121</v>
      </c>
      <c r="D76" s="16" t="s">
        <v>21</v>
      </c>
      <c r="E76" s="14">
        <v>40</v>
      </c>
      <c r="F76" s="7" t="s">
        <v>67</v>
      </c>
      <c r="G76" s="42">
        <v>2.99</v>
      </c>
      <c r="H76" s="42">
        <v>19.010000000000002</v>
      </c>
      <c r="I76" s="38">
        <f t="shared" si="61"/>
        <v>22</v>
      </c>
      <c r="J76" s="39">
        <v>0.27779999999999999</v>
      </c>
      <c r="K76" s="40">
        <f t="shared" si="62"/>
        <v>152.82488000000001</v>
      </c>
      <c r="L76" s="40">
        <f t="shared" si="63"/>
        <v>971.63912000000016</v>
      </c>
      <c r="M76" s="40">
        <f t="shared" si="64"/>
        <v>1124.4639999999999</v>
      </c>
      <c r="O76" s="34">
        <v>0.8</v>
      </c>
      <c r="P76" s="35">
        <f t="shared" si="58"/>
        <v>899.57119999999998</v>
      </c>
      <c r="Q76" s="28"/>
      <c r="R76" s="28"/>
      <c r="S76" s="34">
        <v>0.2</v>
      </c>
      <c r="T76" s="35">
        <f t="shared" si="65"/>
        <v>224.89279999999999</v>
      </c>
      <c r="V76" s="29">
        <f t="shared" si="59"/>
        <v>1</v>
      </c>
      <c r="W76" s="8">
        <f t="shared" si="60"/>
        <v>1124.4639999999999</v>
      </c>
    </row>
    <row r="77" spans="1:23" x14ac:dyDescent="0.25">
      <c r="A77" s="20"/>
      <c r="B77" s="21"/>
      <c r="C77" s="37"/>
      <c r="D77" s="22"/>
      <c r="E77" s="23"/>
      <c r="F77" s="24"/>
      <c r="G77" s="24"/>
      <c r="H77" s="24"/>
      <c r="I77" s="32" t="s">
        <v>40</v>
      </c>
      <c r="J77" s="32"/>
      <c r="K77" s="33">
        <f t="shared" ref="K77:L77" si="66">SUM(K74:K76)</f>
        <v>442.29769199999998</v>
      </c>
      <c r="L77" s="33">
        <f t="shared" si="66"/>
        <v>2767.2036800000001</v>
      </c>
      <c r="M77" s="33">
        <f>SUM(M74:M76)</f>
        <v>3209.5013720000002</v>
      </c>
      <c r="P77" s="33">
        <f>SUM(P74:P76)</f>
        <v>2623.45118</v>
      </c>
      <c r="R77" s="33">
        <f>SUM(R74:R76)</f>
        <v>0</v>
      </c>
      <c r="T77" s="33">
        <f>SUM(T74:T76)</f>
        <v>586.05019200000004</v>
      </c>
    </row>
    <row r="78" spans="1:23" ht="15.75" thickBot="1" x14ac:dyDescent="0.3"/>
    <row r="79" spans="1:23" ht="15.75" thickBot="1" x14ac:dyDescent="0.3">
      <c r="A79" s="95" t="s">
        <v>96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7"/>
    </row>
    <row r="80" spans="1:23" ht="15.75" thickBot="1" x14ac:dyDescent="0.3">
      <c r="A80" s="90" t="s">
        <v>97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1"/>
      <c r="O80" s="90"/>
      <c r="P80" s="90"/>
      <c r="Q80" s="90"/>
      <c r="R80" s="90"/>
      <c r="S80" s="90"/>
      <c r="T80" s="90"/>
    </row>
    <row r="81" spans="1:23" x14ac:dyDescent="0.25">
      <c r="A81" s="10" t="s">
        <v>2</v>
      </c>
      <c r="B81" s="11" t="s">
        <v>3</v>
      </c>
      <c r="C81" s="11" t="s">
        <v>4</v>
      </c>
      <c r="D81" s="12" t="s">
        <v>5</v>
      </c>
      <c r="E81" s="4" t="s">
        <v>6</v>
      </c>
      <c r="F81" s="3" t="s">
        <v>7</v>
      </c>
      <c r="G81" s="3" t="s">
        <v>33</v>
      </c>
      <c r="H81" s="3" t="s">
        <v>34</v>
      </c>
      <c r="I81" s="5" t="s">
        <v>35</v>
      </c>
      <c r="J81" s="5" t="s">
        <v>36</v>
      </c>
      <c r="K81" s="3" t="s">
        <v>37</v>
      </c>
      <c r="L81" s="3" t="s">
        <v>38</v>
      </c>
      <c r="M81" s="5" t="s">
        <v>39</v>
      </c>
    </row>
    <row r="82" spans="1:23" x14ac:dyDescent="0.25">
      <c r="A82" s="6" t="s">
        <v>8</v>
      </c>
      <c r="B82" s="6" t="s">
        <v>9</v>
      </c>
      <c r="C82" s="19" t="s">
        <v>155</v>
      </c>
      <c r="D82" s="13" t="s">
        <v>98</v>
      </c>
      <c r="E82" s="14">
        <v>20</v>
      </c>
      <c r="F82" s="6" t="s">
        <v>122</v>
      </c>
      <c r="G82" s="42">
        <v>19.11</v>
      </c>
      <c r="H82" s="42">
        <v>4.5199999999999996</v>
      </c>
      <c r="I82" s="38">
        <f t="shared" ref="I82:I95" si="67">G82+H82</f>
        <v>23.63</v>
      </c>
      <c r="J82" s="39">
        <v>0.27779999999999999</v>
      </c>
      <c r="K82" s="40">
        <f t="shared" ref="K82:K95" si="68">$E82*G82*(1+$J82)</f>
        <v>488.37515999999999</v>
      </c>
      <c r="L82" s="40">
        <f t="shared" ref="L82:L95" si="69">$E82*H82*(1+$J82)</f>
        <v>115.51311999999999</v>
      </c>
      <c r="M82" s="40">
        <f t="shared" ref="M82:M95" si="70">$E82*I82*(1+$J82)</f>
        <v>603.88828000000001</v>
      </c>
      <c r="O82" s="34">
        <v>1</v>
      </c>
      <c r="P82" s="35">
        <f t="shared" ref="P82:P90" si="71">O82*$M82</f>
        <v>603.88828000000001</v>
      </c>
      <c r="Q82" s="28"/>
      <c r="R82" s="28"/>
      <c r="S82" s="28"/>
      <c r="T82" s="28"/>
      <c r="V82" s="29">
        <f t="shared" ref="V82:V95" si="72">O82+Q82+S82</f>
        <v>1</v>
      </c>
      <c r="W82" s="8">
        <f t="shared" ref="W82:W95" si="73">P82+R82+T82</f>
        <v>603.88828000000001</v>
      </c>
    </row>
    <row r="83" spans="1:23" x14ac:dyDescent="0.25">
      <c r="A83" s="6" t="s">
        <v>8</v>
      </c>
      <c r="B83" s="6" t="s">
        <v>10</v>
      </c>
      <c r="C83" s="19" t="s">
        <v>156</v>
      </c>
      <c r="D83" s="13" t="s">
        <v>100</v>
      </c>
      <c r="E83" s="14">
        <v>100</v>
      </c>
      <c r="F83" s="6" t="s">
        <v>122</v>
      </c>
      <c r="G83" s="42">
        <v>26.78</v>
      </c>
      <c r="H83" s="42">
        <v>6.65</v>
      </c>
      <c r="I83" s="38">
        <f t="shared" si="67"/>
        <v>33.43</v>
      </c>
      <c r="J83" s="39">
        <v>0.27779999999999999</v>
      </c>
      <c r="K83" s="40">
        <f t="shared" si="68"/>
        <v>3421.9484000000002</v>
      </c>
      <c r="L83" s="40">
        <f t="shared" si="69"/>
        <v>849.73700000000008</v>
      </c>
      <c r="M83" s="40">
        <f t="shared" si="70"/>
        <v>4271.6854000000003</v>
      </c>
      <c r="O83" s="34">
        <v>1</v>
      </c>
      <c r="P83" s="35">
        <f t="shared" si="71"/>
        <v>4271.6854000000003</v>
      </c>
      <c r="Q83" s="28"/>
      <c r="R83" s="28"/>
      <c r="S83" s="28"/>
      <c r="T83" s="28"/>
      <c r="V83" s="29">
        <f t="shared" si="72"/>
        <v>1</v>
      </c>
      <c r="W83" s="8">
        <f t="shared" si="73"/>
        <v>4271.6854000000003</v>
      </c>
    </row>
    <row r="84" spans="1:23" ht="30" x14ac:dyDescent="0.25">
      <c r="A84" s="6" t="s">
        <v>8</v>
      </c>
      <c r="B84" s="6" t="s">
        <v>11</v>
      </c>
      <c r="C84" s="19" t="s">
        <v>157</v>
      </c>
      <c r="D84" s="13" t="s">
        <v>101</v>
      </c>
      <c r="E84" s="14">
        <v>1</v>
      </c>
      <c r="F84" s="6" t="s">
        <v>122</v>
      </c>
      <c r="G84" s="42">
        <f>0.02+8.86</f>
        <v>8.879999999999999</v>
      </c>
      <c r="H84" s="42">
        <v>8.67</v>
      </c>
      <c r="I84" s="38">
        <f t="shared" si="67"/>
        <v>17.549999999999997</v>
      </c>
      <c r="J84" s="39">
        <v>0.27779999999999999</v>
      </c>
      <c r="K84" s="40">
        <f t="shared" si="68"/>
        <v>11.346863999999998</v>
      </c>
      <c r="L84" s="40">
        <f t="shared" si="69"/>
        <v>11.078526</v>
      </c>
      <c r="M84" s="40">
        <f t="shared" si="70"/>
        <v>22.425389999999997</v>
      </c>
      <c r="O84" s="34">
        <v>1</v>
      </c>
      <c r="P84" s="35">
        <f t="shared" si="71"/>
        <v>22.425389999999997</v>
      </c>
      <c r="Q84" s="28"/>
      <c r="R84" s="28"/>
      <c r="S84" s="28"/>
      <c r="T84" s="28"/>
      <c r="V84" s="29">
        <f t="shared" si="72"/>
        <v>1</v>
      </c>
      <c r="W84" s="8">
        <f t="shared" si="73"/>
        <v>22.425389999999997</v>
      </c>
    </row>
    <row r="85" spans="1:23" ht="30" x14ac:dyDescent="0.25">
      <c r="A85" s="6" t="s">
        <v>8</v>
      </c>
      <c r="B85" s="6" t="s">
        <v>12</v>
      </c>
      <c r="C85" s="19" t="s">
        <v>158</v>
      </c>
      <c r="D85" s="13" t="s">
        <v>102</v>
      </c>
      <c r="E85" s="14">
        <v>8</v>
      </c>
      <c r="F85" s="6" t="s">
        <v>122</v>
      </c>
      <c r="G85" s="42">
        <v>6.54</v>
      </c>
      <c r="H85" s="42">
        <v>6.5</v>
      </c>
      <c r="I85" s="38">
        <f t="shared" si="67"/>
        <v>13.04</v>
      </c>
      <c r="J85" s="39">
        <v>0.27779999999999999</v>
      </c>
      <c r="K85" s="40">
        <f t="shared" si="68"/>
        <v>66.854495999999997</v>
      </c>
      <c r="L85" s="40">
        <f t="shared" si="69"/>
        <v>66.445599999999999</v>
      </c>
      <c r="M85" s="40">
        <f t="shared" si="70"/>
        <v>133.300096</v>
      </c>
      <c r="O85" s="34">
        <v>1</v>
      </c>
      <c r="P85" s="35">
        <f t="shared" si="71"/>
        <v>133.300096</v>
      </c>
      <c r="Q85" s="28"/>
      <c r="R85" s="28"/>
      <c r="S85" s="28"/>
      <c r="T85" s="28"/>
      <c r="V85" s="29">
        <f t="shared" si="72"/>
        <v>1</v>
      </c>
      <c r="W85" s="8">
        <f t="shared" si="73"/>
        <v>133.300096</v>
      </c>
    </row>
    <row r="86" spans="1:23" ht="30" x14ac:dyDescent="0.25">
      <c r="A86" s="6" t="s">
        <v>8</v>
      </c>
      <c r="B86" s="6" t="s">
        <v>13</v>
      </c>
      <c r="C86" s="19" t="s">
        <v>159</v>
      </c>
      <c r="D86" s="13" t="s">
        <v>103</v>
      </c>
      <c r="E86" s="14">
        <v>6</v>
      </c>
      <c r="F86" s="6" t="s">
        <v>122</v>
      </c>
      <c r="G86" s="42">
        <v>5.65</v>
      </c>
      <c r="H86" s="42">
        <v>6.52</v>
      </c>
      <c r="I86" s="38">
        <f t="shared" si="67"/>
        <v>12.17</v>
      </c>
      <c r="J86" s="39">
        <v>0.27779999999999999</v>
      </c>
      <c r="K86" s="40">
        <f t="shared" si="68"/>
        <v>43.317420000000006</v>
      </c>
      <c r="L86" s="40">
        <f t="shared" si="69"/>
        <v>49.987535999999999</v>
      </c>
      <c r="M86" s="40">
        <f t="shared" si="70"/>
        <v>93.304956000000004</v>
      </c>
      <c r="O86" s="34">
        <v>1</v>
      </c>
      <c r="P86" s="35">
        <f t="shared" si="71"/>
        <v>93.304956000000004</v>
      </c>
      <c r="Q86" s="28"/>
      <c r="R86" s="28"/>
      <c r="S86" s="28"/>
      <c r="T86" s="28"/>
      <c r="V86" s="29">
        <f t="shared" si="72"/>
        <v>1</v>
      </c>
      <c r="W86" s="8">
        <f t="shared" si="73"/>
        <v>93.304956000000004</v>
      </c>
    </row>
    <row r="87" spans="1:23" ht="30" x14ac:dyDescent="0.25">
      <c r="A87" s="6" t="s">
        <v>8</v>
      </c>
      <c r="B87" s="6" t="s">
        <v>54</v>
      </c>
      <c r="C87" s="19" t="s">
        <v>160</v>
      </c>
      <c r="D87" s="13" t="s">
        <v>161</v>
      </c>
      <c r="E87" s="14">
        <v>20</v>
      </c>
      <c r="F87" s="6" t="s">
        <v>49</v>
      </c>
      <c r="G87" s="42">
        <v>7.65</v>
      </c>
      <c r="H87" s="42">
        <v>4.34</v>
      </c>
      <c r="I87" s="38">
        <f t="shared" si="67"/>
        <v>11.99</v>
      </c>
      <c r="J87" s="39">
        <v>0.27779999999999999</v>
      </c>
      <c r="K87" s="40">
        <f t="shared" si="68"/>
        <v>195.5034</v>
      </c>
      <c r="L87" s="40">
        <f t="shared" si="69"/>
        <v>110.91304</v>
      </c>
      <c r="M87" s="40">
        <f t="shared" si="70"/>
        <v>306.41644000000002</v>
      </c>
      <c r="O87" s="34">
        <v>1</v>
      </c>
      <c r="P87" s="35">
        <f t="shared" si="71"/>
        <v>306.41644000000002</v>
      </c>
      <c r="Q87" s="28"/>
      <c r="R87" s="28"/>
      <c r="S87" s="28"/>
      <c r="T87" s="28"/>
      <c r="V87" s="29">
        <f t="shared" si="72"/>
        <v>1</v>
      </c>
      <c r="W87" s="8">
        <f t="shared" si="73"/>
        <v>306.41644000000002</v>
      </c>
    </row>
    <row r="88" spans="1:23" ht="30" x14ac:dyDescent="0.25">
      <c r="A88" s="6" t="s">
        <v>8</v>
      </c>
      <c r="B88" s="6" t="s">
        <v>56</v>
      </c>
      <c r="C88" s="19" t="s">
        <v>162</v>
      </c>
      <c r="D88" s="13" t="s">
        <v>104</v>
      </c>
      <c r="E88" s="14">
        <v>0.1</v>
      </c>
      <c r="F88" s="6" t="s">
        <v>206</v>
      </c>
      <c r="G88" s="42">
        <v>24.67</v>
      </c>
      <c r="H88" s="42">
        <v>0</v>
      </c>
      <c r="I88" s="38">
        <f t="shared" si="67"/>
        <v>24.67</v>
      </c>
      <c r="J88" s="39">
        <v>0.27779999999999999</v>
      </c>
      <c r="K88" s="40">
        <f t="shared" si="68"/>
        <v>3.1523326000000007</v>
      </c>
      <c r="L88" s="40">
        <f t="shared" si="69"/>
        <v>0</v>
      </c>
      <c r="M88" s="40">
        <f t="shared" si="70"/>
        <v>3.1523326000000007</v>
      </c>
      <c r="O88" s="34">
        <v>1</v>
      </c>
      <c r="P88" s="35">
        <f t="shared" si="71"/>
        <v>3.1523326000000007</v>
      </c>
      <c r="Q88" s="28"/>
      <c r="R88" s="28"/>
      <c r="S88" s="28"/>
      <c r="T88" s="28"/>
      <c r="V88" s="29">
        <f t="shared" si="72"/>
        <v>1</v>
      </c>
      <c r="W88" s="8">
        <f t="shared" si="73"/>
        <v>3.1523326000000007</v>
      </c>
    </row>
    <row r="89" spans="1:23" ht="30" x14ac:dyDescent="0.25">
      <c r="A89" s="6" t="s">
        <v>8</v>
      </c>
      <c r="B89" s="6" t="s">
        <v>105</v>
      </c>
      <c r="C89" s="19" t="s">
        <v>163</v>
      </c>
      <c r="D89" s="13" t="s">
        <v>106</v>
      </c>
      <c r="E89" s="14">
        <v>9</v>
      </c>
      <c r="F89" s="6" t="s">
        <v>53</v>
      </c>
      <c r="G89" s="42">
        <f>0.18+16.24</f>
        <v>16.419999999999998</v>
      </c>
      <c r="H89" s="42">
        <v>36.15</v>
      </c>
      <c r="I89" s="38">
        <f t="shared" si="67"/>
        <v>52.569999999999993</v>
      </c>
      <c r="J89" s="39">
        <v>0.27779999999999999</v>
      </c>
      <c r="K89" s="40">
        <f t="shared" si="68"/>
        <v>188.83328399999996</v>
      </c>
      <c r="L89" s="40">
        <f t="shared" si="69"/>
        <v>415.73222999999996</v>
      </c>
      <c r="M89" s="40">
        <f t="shared" si="70"/>
        <v>604.56551399999989</v>
      </c>
      <c r="O89" s="34">
        <v>1</v>
      </c>
      <c r="P89" s="35">
        <f t="shared" si="71"/>
        <v>604.56551399999989</v>
      </c>
      <c r="Q89" s="28"/>
      <c r="R89" s="28"/>
      <c r="S89" s="28"/>
      <c r="T89" s="28"/>
      <c r="V89" s="29">
        <f t="shared" si="72"/>
        <v>1</v>
      </c>
      <c r="W89" s="8">
        <f t="shared" si="73"/>
        <v>604.56551399999989</v>
      </c>
    </row>
    <row r="90" spans="1:23" x14ac:dyDescent="0.25">
      <c r="A90" s="6" t="s">
        <v>8</v>
      </c>
      <c r="B90" s="6" t="s">
        <v>107</v>
      </c>
      <c r="C90" s="19" t="s">
        <v>164</v>
      </c>
      <c r="D90" s="13" t="s">
        <v>108</v>
      </c>
      <c r="E90" s="14">
        <v>9</v>
      </c>
      <c r="F90" s="6" t="s">
        <v>53</v>
      </c>
      <c r="G90" s="42">
        <f>0.11+9.82</f>
        <v>9.93</v>
      </c>
      <c r="H90" s="42">
        <v>21.94</v>
      </c>
      <c r="I90" s="38">
        <f t="shared" si="67"/>
        <v>31.87</v>
      </c>
      <c r="J90" s="39">
        <v>0.27779999999999999</v>
      </c>
      <c r="K90" s="40">
        <f t="shared" si="68"/>
        <v>114.19698600000001</v>
      </c>
      <c r="L90" s="40">
        <f t="shared" si="69"/>
        <v>252.31438800000001</v>
      </c>
      <c r="M90" s="40">
        <f t="shared" si="70"/>
        <v>366.51137399999999</v>
      </c>
      <c r="O90" s="34">
        <v>1</v>
      </c>
      <c r="P90" s="35">
        <f t="shared" si="71"/>
        <v>366.51137399999999</v>
      </c>
      <c r="Q90" s="28"/>
      <c r="R90" s="28"/>
      <c r="S90" s="28"/>
      <c r="T90" s="28"/>
      <c r="V90" s="29">
        <f t="shared" si="72"/>
        <v>1</v>
      </c>
      <c r="W90" s="8">
        <f t="shared" si="73"/>
        <v>366.51137399999999</v>
      </c>
    </row>
    <row r="91" spans="1:23" x14ac:dyDescent="0.25">
      <c r="A91" s="45" t="s">
        <v>109</v>
      </c>
      <c r="B91" s="45" t="s">
        <v>110</v>
      </c>
      <c r="C91" s="46" t="s">
        <v>17</v>
      </c>
      <c r="D91" s="13" t="s">
        <v>111</v>
      </c>
      <c r="E91" s="14">
        <v>1</v>
      </c>
      <c r="F91" s="6" t="s">
        <v>122</v>
      </c>
      <c r="G91" s="42">
        <v>134.75</v>
      </c>
      <c r="H91" s="42">
        <v>0</v>
      </c>
      <c r="I91" s="38">
        <f t="shared" si="67"/>
        <v>134.75</v>
      </c>
      <c r="J91" s="39">
        <v>0.27779999999999999</v>
      </c>
      <c r="K91" s="40">
        <f t="shared" si="68"/>
        <v>172.18355</v>
      </c>
      <c r="L91" s="40">
        <f t="shared" si="69"/>
        <v>0</v>
      </c>
      <c r="M91" s="40">
        <f t="shared" si="70"/>
        <v>172.18355</v>
      </c>
      <c r="O91" s="28"/>
      <c r="P91" s="28"/>
      <c r="Q91" s="28"/>
      <c r="R91" s="28"/>
      <c r="S91" s="34">
        <v>1</v>
      </c>
      <c r="T91" s="35">
        <f t="shared" ref="T91:T95" si="74">S91*$M91</f>
        <v>172.18355</v>
      </c>
      <c r="V91" s="29">
        <f t="shared" si="72"/>
        <v>1</v>
      </c>
      <c r="W91" s="8">
        <f t="shared" si="73"/>
        <v>172.18355</v>
      </c>
    </row>
    <row r="92" spans="1:23" x14ac:dyDescent="0.25">
      <c r="A92" s="45" t="s">
        <v>109</v>
      </c>
      <c r="B92" s="45" t="s">
        <v>112</v>
      </c>
      <c r="C92" s="46" t="s">
        <v>17</v>
      </c>
      <c r="D92" s="13" t="s">
        <v>113</v>
      </c>
      <c r="E92" s="14">
        <v>1</v>
      </c>
      <c r="F92" s="6" t="s">
        <v>49</v>
      </c>
      <c r="G92" s="42">
        <v>71.19</v>
      </c>
      <c r="H92" s="42">
        <v>0</v>
      </c>
      <c r="I92" s="38">
        <f t="shared" si="67"/>
        <v>71.19</v>
      </c>
      <c r="J92" s="39">
        <v>0.27779999999999999</v>
      </c>
      <c r="K92" s="40">
        <f t="shared" si="68"/>
        <v>90.966582000000002</v>
      </c>
      <c r="L92" s="40">
        <f t="shared" si="69"/>
        <v>0</v>
      </c>
      <c r="M92" s="40">
        <f t="shared" si="70"/>
        <v>90.966582000000002</v>
      </c>
      <c r="O92" s="28"/>
      <c r="P92" s="28"/>
      <c r="Q92" s="28"/>
      <c r="R92" s="28"/>
      <c r="S92" s="34">
        <v>1</v>
      </c>
      <c r="T92" s="35">
        <f t="shared" si="74"/>
        <v>90.966582000000002</v>
      </c>
      <c r="V92" s="29">
        <f t="shared" si="72"/>
        <v>1</v>
      </c>
      <c r="W92" s="8">
        <f t="shared" si="73"/>
        <v>90.966582000000002</v>
      </c>
    </row>
    <row r="93" spans="1:23" ht="30" x14ac:dyDescent="0.25">
      <c r="A93" s="45" t="s">
        <v>109</v>
      </c>
      <c r="B93" s="45" t="s">
        <v>114</v>
      </c>
      <c r="C93" s="46" t="s">
        <v>17</v>
      </c>
      <c r="D93" s="13" t="s">
        <v>115</v>
      </c>
      <c r="E93" s="14">
        <v>10</v>
      </c>
      <c r="F93" s="6" t="s">
        <v>122</v>
      </c>
      <c r="G93" s="42">
        <v>7.15</v>
      </c>
      <c r="H93" s="42">
        <v>0</v>
      </c>
      <c r="I93" s="38">
        <f t="shared" si="67"/>
        <v>7.15</v>
      </c>
      <c r="J93" s="39">
        <v>0.27779999999999999</v>
      </c>
      <c r="K93" s="40">
        <f t="shared" si="68"/>
        <v>91.362700000000004</v>
      </c>
      <c r="L93" s="40">
        <f t="shared" si="69"/>
        <v>0</v>
      </c>
      <c r="M93" s="40">
        <f t="shared" si="70"/>
        <v>91.362700000000004</v>
      </c>
      <c r="O93" s="28"/>
      <c r="P93" s="28"/>
      <c r="Q93" s="28"/>
      <c r="R93" s="28"/>
      <c r="S93" s="34">
        <v>1</v>
      </c>
      <c r="T93" s="35">
        <f t="shared" si="74"/>
        <v>91.362700000000004</v>
      </c>
      <c r="V93" s="29">
        <f t="shared" si="72"/>
        <v>1</v>
      </c>
      <c r="W93" s="8">
        <f t="shared" si="73"/>
        <v>91.362700000000004</v>
      </c>
    </row>
    <row r="94" spans="1:23" ht="30" x14ac:dyDescent="0.25">
      <c r="A94" s="6" t="s">
        <v>8</v>
      </c>
      <c r="B94" s="6" t="s">
        <v>116</v>
      </c>
      <c r="C94" s="19" t="s">
        <v>166</v>
      </c>
      <c r="D94" s="13" t="s">
        <v>117</v>
      </c>
      <c r="E94" s="14">
        <v>10</v>
      </c>
      <c r="F94" s="6" t="s">
        <v>122</v>
      </c>
      <c r="G94" s="42">
        <v>0.11</v>
      </c>
      <c r="H94" s="42">
        <v>0</v>
      </c>
      <c r="I94" s="38">
        <f t="shared" si="67"/>
        <v>0.11</v>
      </c>
      <c r="J94" s="39">
        <v>0.27779999999999999</v>
      </c>
      <c r="K94" s="40">
        <f t="shared" si="68"/>
        <v>1.4055800000000003</v>
      </c>
      <c r="L94" s="40">
        <f t="shared" si="69"/>
        <v>0</v>
      </c>
      <c r="M94" s="40">
        <f t="shared" si="70"/>
        <v>1.4055800000000003</v>
      </c>
      <c r="O94" s="28"/>
      <c r="P94" s="28"/>
      <c r="Q94" s="28"/>
      <c r="R94" s="28"/>
      <c r="S94" s="34">
        <v>1</v>
      </c>
      <c r="T94" s="35">
        <f t="shared" si="74"/>
        <v>1.4055800000000003</v>
      </c>
      <c r="V94" s="29">
        <f t="shared" si="72"/>
        <v>1</v>
      </c>
      <c r="W94" s="8">
        <f t="shared" si="73"/>
        <v>1.4055800000000003</v>
      </c>
    </row>
    <row r="95" spans="1:23" x14ac:dyDescent="0.25">
      <c r="A95" s="6" t="s">
        <v>8</v>
      </c>
      <c r="B95" s="6" t="s">
        <v>118</v>
      </c>
      <c r="C95" s="19" t="s">
        <v>165</v>
      </c>
      <c r="D95" s="13" t="s">
        <v>119</v>
      </c>
      <c r="E95" s="14">
        <v>10</v>
      </c>
      <c r="F95" s="6" t="s">
        <v>122</v>
      </c>
      <c r="G95" s="42">
        <v>0.16</v>
      </c>
      <c r="H95" s="42">
        <v>0</v>
      </c>
      <c r="I95" s="38">
        <f t="shared" si="67"/>
        <v>0.16</v>
      </c>
      <c r="J95" s="39">
        <v>0.27779999999999999</v>
      </c>
      <c r="K95" s="40">
        <f t="shared" si="68"/>
        <v>2.0444800000000001</v>
      </c>
      <c r="L95" s="40">
        <f t="shared" si="69"/>
        <v>0</v>
      </c>
      <c r="M95" s="40">
        <f t="shared" si="70"/>
        <v>2.0444800000000001</v>
      </c>
      <c r="O95" s="28"/>
      <c r="P95" s="28"/>
      <c r="Q95" s="28"/>
      <c r="R95" s="28"/>
      <c r="S95" s="34">
        <v>1</v>
      </c>
      <c r="T95" s="35">
        <f t="shared" si="74"/>
        <v>2.0444800000000001</v>
      </c>
      <c r="V95" s="29">
        <f t="shared" si="72"/>
        <v>1</v>
      </c>
      <c r="W95" s="8">
        <f t="shared" si="73"/>
        <v>2.0444800000000001</v>
      </c>
    </row>
    <row r="96" spans="1:23" x14ac:dyDescent="0.25">
      <c r="I96" s="32" t="s">
        <v>40</v>
      </c>
      <c r="J96" s="32"/>
      <c r="K96" s="33">
        <f t="shared" ref="K96:L96" si="75">SUM(K82:K95)</f>
        <v>4891.4912345999983</v>
      </c>
      <c r="L96" s="33">
        <f t="shared" si="75"/>
        <v>1871.72144</v>
      </c>
      <c r="M96" s="33">
        <f>SUM(M82:M95)</f>
        <v>6763.2126745999985</v>
      </c>
      <c r="P96" s="33">
        <f>SUM(P82:P95)</f>
        <v>6405.2497825999999</v>
      </c>
      <c r="R96" s="33">
        <f>SUM(R82:R95)</f>
        <v>0</v>
      </c>
      <c r="T96" s="33">
        <f>SUM(T82:T95)</f>
        <v>357.96289200000001</v>
      </c>
    </row>
    <row r="98" spans="4:23" x14ac:dyDescent="0.25">
      <c r="D98" s="87" t="s">
        <v>42</v>
      </c>
      <c r="L98" s="30" t="s">
        <v>42</v>
      </c>
      <c r="M98" s="31">
        <f>SUM(M10:M96)/2</f>
        <v>513479.60754070582</v>
      </c>
      <c r="O98" s="88">
        <f>P98/$M$98</f>
        <v>9.0597809551866498E-2</v>
      </c>
      <c r="P98" s="31">
        <f>SUM(P10:P96)/2</f>
        <v>46520.127692740018</v>
      </c>
      <c r="Q98" s="88">
        <f>R98/$M$98</f>
        <v>0.29740465748573597</v>
      </c>
      <c r="R98" s="31">
        <f>SUM(R10:R96)/2</f>
        <v>152711.22680655375</v>
      </c>
      <c r="S98" s="88">
        <f>T98/$M$98</f>
        <v>0.61199753296239745</v>
      </c>
      <c r="T98" s="31">
        <f>SUM(T10:T96)/2</f>
        <v>314248.25304141204</v>
      </c>
      <c r="W98" s="85">
        <f>SUM(W10:W96)</f>
        <v>513479.60754070594</v>
      </c>
    </row>
    <row r="99" spans="4:23" x14ac:dyDescent="0.25">
      <c r="D99" s="80"/>
    </row>
    <row r="100" spans="4:23" x14ac:dyDescent="0.25">
      <c r="D100" s="81" t="s">
        <v>214</v>
      </c>
      <c r="O100" s="88">
        <f>P100/$M$98</f>
        <v>9.0597809551866498E-2</v>
      </c>
      <c r="P100" s="89">
        <f>P98</f>
        <v>46520.127692740018</v>
      </c>
      <c r="Q100" s="88">
        <f>R100/$M$98</f>
        <v>0.38800246703760249</v>
      </c>
      <c r="R100" s="89">
        <f>R98+P100</f>
        <v>199231.35449929378</v>
      </c>
      <c r="S100" s="88">
        <f>T100/$M$98</f>
        <v>1</v>
      </c>
      <c r="T100" s="89">
        <f>T98+R100</f>
        <v>513479.60754070582</v>
      </c>
    </row>
  </sheetData>
  <mergeCells count="27">
    <mergeCell ref="O80:T80"/>
    <mergeCell ref="O2:T2"/>
    <mergeCell ref="A54:M54"/>
    <mergeCell ref="A71:M71"/>
    <mergeCell ref="A72:M72"/>
    <mergeCell ref="A79:M79"/>
    <mergeCell ref="O4:P4"/>
    <mergeCell ref="Q4:R4"/>
    <mergeCell ref="S4:T4"/>
    <mergeCell ref="O8:T8"/>
    <mergeCell ref="O16:T16"/>
    <mergeCell ref="O26:T26"/>
    <mergeCell ref="O34:T34"/>
    <mergeCell ref="O45:T45"/>
    <mergeCell ref="O54:T54"/>
    <mergeCell ref="O72:T72"/>
    <mergeCell ref="A80:M80"/>
    <mergeCell ref="A5:M5"/>
    <mergeCell ref="A25:M25"/>
    <mergeCell ref="A26:M26"/>
    <mergeCell ref="A33:M33"/>
    <mergeCell ref="A34:M34"/>
    <mergeCell ref="A45:M45"/>
    <mergeCell ref="A15:M15"/>
    <mergeCell ref="A16:M16"/>
    <mergeCell ref="A7:M7"/>
    <mergeCell ref="A8:M8"/>
  </mergeCells>
  <conditionalFormatting sqref="W10">
    <cfRule type="cellIs" dxfId="35" priority="12" operator="equal">
      <formula>M10</formula>
    </cfRule>
  </conditionalFormatting>
  <conditionalFormatting sqref="W11">
    <cfRule type="cellIs" dxfId="34" priority="11" operator="equal">
      <formula>M11</formula>
    </cfRule>
  </conditionalFormatting>
  <conditionalFormatting sqref="W12">
    <cfRule type="cellIs" dxfId="33" priority="10" operator="equal">
      <formula>M12</formula>
    </cfRule>
  </conditionalFormatting>
  <conditionalFormatting sqref="W18:W22">
    <cfRule type="cellIs" dxfId="32" priority="9" operator="equal">
      <formula>M18</formula>
    </cfRule>
  </conditionalFormatting>
  <conditionalFormatting sqref="W28:W30">
    <cfRule type="cellIs" dxfId="31" priority="8" operator="equal">
      <formula>M28</formula>
    </cfRule>
  </conditionalFormatting>
  <conditionalFormatting sqref="W36:W42">
    <cfRule type="cellIs" dxfId="30" priority="7" operator="equal">
      <formula>M36</formula>
    </cfRule>
  </conditionalFormatting>
  <conditionalFormatting sqref="W47:W51">
    <cfRule type="cellIs" dxfId="29" priority="6" operator="equal">
      <formula>M47</formula>
    </cfRule>
  </conditionalFormatting>
  <conditionalFormatting sqref="W56:W64">
    <cfRule type="cellIs" dxfId="28" priority="5" operator="equal">
      <formula>M56</formula>
    </cfRule>
  </conditionalFormatting>
  <conditionalFormatting sqref="W65:W68">
    <cfRule type="cellIs" dxfId="27" priority="4" operator="equal">
      <formula>M65</formula>
    </cfRule>
  </conditionalFormatting>
  <conditionalFormatting sqref="W74:W76">
    <cfRule type="cellIs" dxfId="26" priority="3" operator="equal">
      <formula>M74</formula>
    </cfRule>
  </conditionalFormatting>
  <conditionalFormatting sqref="W82:W93">
    <cfRule type="cellIs" dxfId="25" priority="2" operator="equal">
      <formula>M82</formula>
    </cfRule>
  </conditionalFormatting>
  <conditionalFormatting sqref="W94:W95">
    <cfRule type="cellIs" dxfId="24" priority="1" operator="equal">
      <formula>M94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39"/>
  <sheetViews>
    <sheetView zoomScale="85" zoomScaleNormal="85" workbookViewId="0">
      <selection activeCell="A7" sqref="A7:B7"/>
    </sheetView>
  </sheetViews>
  <sheetFormatPr defaultRowHeight="15" x14ac:dyDescent="0.25"/>
  <cols>
    <col min="1" max="1" width="10.85546875" bestFit="1" customWidth="1"/>
    <col min="2" max="2" width="48.85546875" customWidth="1"/>
    <col min="3" max="3" width="14.5703125" customWidth="1"/>
    <col min="4" max="4" width="9.28515625" customWidth="1"/>
    <col min="5" max="7" width="16.7109375" customWidth="1"/>
    <col min="8" max="8" width="17.28515625" customWidth="1"/>
    <col min="9" max="11" width="18.85546875" customWidth="1"/>
  </cols>
  <sheetData>
    <row r="6" spans="1:11" x14ac:dyDescent="0.25">
      <c r="A6" s="113" t="s">
        <v>208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</row>
    <row r="7" spans="1:11" x14ac:dyDescent="0.25">
      <c r="A7" s="115" t="s">
        <v>179</v>
      </c>
      <c r="B7" s="116"/>
      <c r="C7" s="63" t="s">
        <v>180</v>
      </c>
      <c r="D7" s="63" t="s">
        <v>181</v>
      </c>
      <c r="E7" s="63" t="s">
        <v>182</v>
      </c>
      <c r="F7" s="63" t="s">
        <v>199</v>
      </c>
      <c r="G7" s="63" t="s">
        <v>200</v>
      </c>
      <c r="H7" s="63" t="s">
        <v>201</v>
      </c>
      <c r="I7" s="63" t="s">
        <v>202</v>
      </c>
      <c r="J7" s="63" t="s">
        <v>203</v>
      </c>
      <c r="K7" s="63" t="s">
        <v>204</v>
      </c>
    </row>
    <row r="8" spans="1:11" ht="30" x14ac:dyDescent="0.25">
      <c r="A8" s="70" t="s">
        <v>198</v>
      </c>
      <c r="B8" s="64" t="s">
        <v>183</v>
      </c>
      <c r="C8" s="64" t="s">
        <v>184</v>
      </c>
      <c r="D8" s="64" t="s">
        <v>185</v>
      </c>
      <c r="E8" s="65">
        <v>1</v>
      </c>
      <c r="F8" s="65">
        <v>5.67</v>
      </c>
      <c r="G8" s="65">
        <v>0</v>
      </c>
      <c r="H8" s="65">
        <f>F8+G8</f>
        <v>5.67</v>
      </c>
      <c r="I8" s="65">
        <f>$E8*F8</f>
        <v>5.67</v>
      </c>
      <c r="J8" s="65">
        <f t="shared" ref="J8:K8" si="0">$E8*G8</f>
        <v>0</v>
      </c>
      <c r="K8" s="65">
        <f t="shared" si="0"/>
        <v>5.67</v>
      </c>
    </row>
    <row r="9" spans="1:11" x14ac:dyDescent="0.25">
      <c r="A9" s="66"/>
      <c r="B9" s="66"/>
      <c r="C9" s="66"/>
      <c r="D9" s="66"/>
      <c r="E9" s="117" t="s">
        <v>186</v>
      </c>
      <c r="F9" s="117"/>
      <c r="G9" s="117"/>
      <c r="H9" s="118"/>
      <c r="I9" s="71"/>
      <c r="J9" s="71"/>
      <c r="K9" s="67"/>
    </row>
    <row r="10" spans="1:11" x14ac:dyDescent="0.25">
      <c r="A10" s="115" t="s">
        <v>187</v>
      </c>
      <c r="B10" s="116"/>
      <c r="C10" s="63" t="s">
        <v>180</v>
      </c>
      <c r="D10" s="63" t="s">
        <v>181</v>
      </c>
      <c r="E10" s="63" t="s">
        <v>182</v>
      </c>
      <c r="F10" s="63" t="s">
        <v>195</v>
      </c>
      <c r="G10" s="63" t="s">
        <v>196</v>
      </c>
      <c r="H10" s="63" t="s">
        <v>42</v>
      </c>
      <c r="I10" s="63" t="s">
        <v>202</v>
      </c>
      <c r="J10" s="63" t="s">
        <v>203</v>
      </c>
      <c r="K10" s="63" t="s">
        <v>204</v>
      </c>
    </row>
    <row r="11" spans="1:11" ht="45" x14ac:dyDescent="0.25">
      <c r="A11" s="70" t="s">
        <v>197</v>
      </c>
      <c r="B11" s="64" t="s">
        <v>188</v>
      </c>
      <c r="C11" s="64" t="s">
        <v>184</v>
      </c>
      <c r="D11" s="64" t="s">
        <v>189</v>
      </c>
      <c r="E11" s="68">
        <v>6.0000000000000001E-3</v>
      </c>
      <c r="F11" s="65">
        <f>17.87+44.45</f>
        <v>62.320000000000007</v>
      </c>
      <c r="G11" s="65">
        <v>58.95</v>
      </c>
      <c r="H11" s="65">
        <f>F11+G11</f>
        <v>121.27000000000001</v>
      </c>
      <c r="I11" s="65">
        <f>$E11*F11</f>
        <v>0.37392000000000003</v>
      </c>
      <c r="J11" s="65">
        <f t="shared" ref="J11:K11" si="1">$E11*G11</f>
        <v>0.35370000000000001</v>
      </c>
      <c r="K11" s="65">
        <f t="shared" si="1"/>
        <v>0.72762000000000004</v>
      </c>
    </row>
    <row r="12" spans="1:11" ht="30" x14ac:dyDescent="0.25">
      <c r="A12" s="64" t="s">
        <v>190</v>
      </c>
      <c r="B12" s="64" t="s">
        <v>191</v>
      </c>
      <c r="C12" s="64" t="s">
        <v>184</v>
      </c>
      <c r="D12" s="64" t="s">
        <v>192</v>
      </c>
      <c r="E12" s="69">
        <v>0.3</v>
      </c>
      <c r="F12" s="65">
        <f>4.13+0.05</f>
        <v>4.18</v>
      </c>
      <c r="G12" s="65">
        <v>12.12</v>
      </c>
      <c r="H12" s="65">
        <f t="shared" ref="H12:H13" si="2">F12+G12</f>
        <v>16.299999999999997</v>
      </c>
      <c r="I12" s="65">
        <f t="shared" ref="I12:I13" si="3">$E12*F12</f>
        <v>1.2539999999999998</v>
      </c>
      <c r="J12" s="65">
        <f t="shared" ref="J12:J13" si="4">$E12*G12</f>
        <v>3.6359999999999997</v>
      </c>
      <c r="K12" s="65">
        <f t="shared" ref="K12:K13" si="5">$E12*H12</f>
        <v>4.8899999999999988</v>
      </c>
    </row>
    <row r="13" spans="1:11" ht="30" x14ac:dyDescent="0.25">
      <c r="A13" s="64" t="s">
        <v>193</v>
      </c>
      <c r="B13" s="64" t="s">
        <v>194</v>
      </c>
      <c r="C13" s="64" t="s">
        <v>184</v>
      </c>
      <c r="D13" s="64" t="s">
        <v>192</v>
      </c>
      <c r="E13" s="69">
        <v>0.3</v>
      </c>
      <c r="F13" s="65">
        <f>4.13+0.05</f>
        <v>4.18</v>
      </c>
      <c r="G13" s="65">
        <v>9.11</v>
      </c>
      <c r="H13" s="65">
        <f t="shared" si="2"/>
        <v>13.29</v>
      </c>
      <c r="I13" s="65">
        <f t="shared" si="3"/>
        <v>1.2539999999999998</v>
      </c>
      <c r="J13" s="65">
        <f t="shared" si="4"/>
        <v>2.7329999999999997</v>
      </c>
      <c r="K13" s="65">
        <f t="shared" si="5"/>
        <v>3.9869999999999997</v>
      </c>
    </row>
    <row r="15" spans="1:11" x14ac:dyDescent="0.25">
      <c r="I15" s="63" t="s">
        <v>172</v>
      </c>
      <c r="J15" s="63" t="s">
        <v>205</v>
      </c>
      <c r="K15" s="63" t="s">
        <v>42</v>
      </c>
    </row>
    <row r="16" spans="1:11" x14ac:dyDescent="0.25">
      <c r="H16" s="63" t="s">
        <v>204</v>
      </c>
      <c r="I16" s="77">
        <f>SUM(I8:I13)</f>
        <v>8.5519199999999991</v>
      </c>
      <c r="J16" s="77">
        <f>SUM(J8:J13)</f>
        <v>6.7226999999999997</v>
      </c>
      <c r="K16" s="77">
        <f>SUM(K8:K13)</f>
        <v>15.274619999999999</v>
      </c>
    </row>
    <row r="22" spans="1:10" ht="15.75" thickBot="1" x14ac:dyDescent="0.3"/>
    <row r="23" spans="1:10" ht="21" thickBot="1" x14ac:dyDescent="0.3">
      <c r="A23" s="119" t="s">
        <v>169</v>
      </c>
      <c r="B23" s="120"/>
      <c r="C23" s="120"/>
      <c r="D23" s="120"/>
      <c r="E23" s="120"/>
      <c r="F23" s="120"/>
      <c r="G23" s="120"/>
      <c r="H23" s="120"/>
      <c r="I23" s="72"/>
      <c r="J23" s="72"/>
    </row>
    <row r="24" spans="1:10" x14ac:dyDescent="0.25">
      <c r="A24" s="102" t="s">
        <v>170</v>
      </c>
      <c r="B24" s="102"/>
      <c r="C24" s="102"/>
      <c r="D24" s="102"/>
      <c r="E24" s="102"/>
      <c r="F24" s="102"/>
      <c r="G24" s="102"/>
      <c r="H24" s="102"/>
      <c r="I24" s="73"/>
      <c r="J24" s="73"/>
    </row>
    <row r="25" spans="1:10" x14ac:dyDescent="0.25">
      <c r="A25" s="47"/>
      <c r="B25" s="48"/>
      <c r="C25" s="47"/>
      <c r="D25" s="47"/>
      <c r="E25" s="47"/>
      <c r="F25" s="47"/>
      <c r="G25" s="47"/>
      <c r="H25" s="47"/>
      <c r="I25" s="47"/>
      <c r="J25" s="47"/>
    </row>
    <row r="26" spans="1:10" x14ac:dyDescent="0.25">
      <c r="A26" s="103" t="s">
        <v>171</v>
      </c>
      <c r="B26" s="104" t="s">
        <v>172</v>
      </c>
      <c r="C26" s="106" t="s">
        <v>6</v>
      </c>
      <c r="D26" s="108" t="s">
        <v>7</v>
      </c>
      <c r="E26" s="110" t="s">
        <v>173</v>
      </c>
      <c r="F26" s="111"/>
      <c r="G26" s="111"/>
      <c r="H26" s="112"/>
      <c r="I26" s="74"/>
      <c r="J26" s="74"/>
    </row>
    <row r="27" spans="1:10" x14ac:dyDescent="0.25">
      <c r="A27" s="103"/>
      <c r="B27" s="105"/>
      <c r="C27" s="107"/>
      <c r="D27" s="109"/>
      <c r="E27" s="49" t="s">
        <v>174</v>
      </c>
      <c r="F27" s="49"/>
      <c r="G27" s="49"/>
      <c r="H27" s="50" t="s">
        <v>42</v>
      </c>
      <c r="I27" s="74"/>
      <c r="J27" s="74"/>
    </row>
    <row r="28" spans="1:10" x14ac:dyDescent="0.25">
      <c r="A28" s="51"/>
      <c r="B28" s="52" t="s">
        <v>175</v>
      </c>
      <c r="C28" s="53">
        <v>5</v>
      </c>
      <c r="D28" s="54" t="s">
        <v>99</v>
      </c>
      <c r="E28" s="62">
        <f>AVERAGE(B29:B31)</f>
        <v>134.75</v>
      </c>
      <c r="F28" s="62"/>
      <c r="G28" s="62"/>
      <c r="H28" s="55">
        <f>E28*C28</f>
        <v>673.75</v>
      </c>
      <c r="I28" s="75"/>
      <c r="J28">
        <v>134.75</v>
      </c>
    </row>
    <row r="29" spans="1:10" x14ac:dyDescent="0.25">
      <c r="A29" s="56" t="s">
        <v>176</v>
      </c>
      <c r="B29" s="57">
        <v>114.01</v>
      </c>
      <c r="C29" s="58"/>
      <c r="D29" s="58"/>
      <c r="E29" s="58"/>
      <c r="F29" s="58"/>
      <c r="G29" s="58"/>
      <c r="H29" s="58"/>
      <c r="I29" s="76"/>
      <c r="J29">
        <v>71.193333333333342</v>
      </c>
    </row>
    <row r="30" spans="1:10" x14ac:dyDescent="0.25">
      <c r="A30" s="56" t="s">
        <v>177</v>
      </c>
      <c r="B30" s="57">
        <v>132.94</v>
      </c>
      <c r="C30" s="58"/>
      <c r="D30" s="58"/>
      <c r="E30" s="58"/>
      <c r="F30" s="58"/>
      <c r="G30" s="58"/>
      <c r="H30" s="58"/>
      <c r="I30" s="76"/>
      <c r="J30">
        <v>7.1533333333333333</v>
      </c>
    </row>
    <row r="31" spans="1:10" x14ac:dyDescent="0.25">
      <c r="A31" s="56" t="s">
        <v>178</v>
      </c>
      <c r="B31" s="57">
        <v>157.30000000000001</v>
      </c>
      <c r="C31" s="58"/>
      <c r="D31" s="58"/>
      <c r="E31" s="58"/>
      <c r="F31" s="58"/>
      <c r="G31" s="58"/>
      <c r="H31" s="58"/>
      <c r="I31" s="76"/>
      <c r="J31" s="76"/>
    </row>
    <row r="32" spans="1:10" x14ac:dyDescent="0.25">
      <c r="A32" s="58"/>
      <c r="B32" s="59" t="s">
        <v>113</v>
      </c>
      <c r="C32" s="60">
        <v>7</v>
      </c>
      <c r="D32" s="61" t="s">
        <v>19</v>
      </c>
      <c r="E32" s="62">
        <f>AVERAGE(B33:B35)</f>
        <v>71.193333333333342</v>
      </c>
      <c r="F32" s="62"/>
      <c r="G32" s="62"/>
      <c r="H32" s="55">
        <f>E32*C32</f>
        <v>498.35333333333341</v>
      </c>
      <c r="I32" s="75"/>
      <c r="J32" s="75"/>
    </row>
    <row r="33" spans="1:10" x14ac:dyDescent="0.25">
      <c r="A33" s="56" t="s">
        <v>176</v>
      </c>
      <c r="B33" s="57">
        <v>72.45</v>
      </c>
      <c r="C33" s="58"/>
      <c r="D33" s="58"/>
      <c r="E33" s="58"/>
      <c r="F33" s="58"/>
      <c r="G33" s="58"/>
      <c r="H33" s="58"/>
      <c r="I33" s="76"/>
      <c r="J33" s="76"/>
    </row>
    <row r="34" spans="1:10" x14ac:dyDescent="0.25">
      <c r="A34" s="56" t="s">
        <v>177</v>
      </c>
      <c r="B34" s="57">
        <v>54.01</v>
      </c>
      <c r="C34" s="58"/>
      <c r="D34" s="58"/>
      <c r="E34" s="58"/>
      <c r="F34" s="58"/>
      <c r="G34" s="58"/>
      <c r="H34" s="58"/>
      <c r="I34" s="76"/>
      <c r="J34" s="76"/>
    </row>
    <row r="35" spans="1:10" x14ac:dyDescent="0.25">
      <c r="A35" s="56" t="s">
        <v>178</v>
      </c>
      <c r="B35" s="57">
        <v>87.12</v>
      </c>
      <c r="C35" s="58"/>
      <c r="D35" s="58"/>
      <c r="E35" s="58"/>
      <c r="F35" s="58"/>
      <c r="G35" s="58"/>
      <c r="H35" s="58"/>
      <c r="I35" s="76"/>
      <c r="J35" s="76"/>
    </row>
    <row r="36" spans="1:10" ht="30" x14ac:dyDescent="0.25">
      <c r="A36" s="58"/>
      <c r="B36" s="59" t="s">
        <v>115</v>
      </c>
      <c r="C36" s="60">
        <v>16</v>
      </c>
      <c r="D36" s="61" t="s">
        <v>99</v>
      </c>
      <c r="E36" s="62">
        <f>AVERAGE(B37:B39)</f>
        <v>7.1533333333333333</v>
      </c>
      <c r="F36" s="62"/>
      <c r="G36" s="62"/>
      <c r="H36" s="55">
        <f>E36*C36</f>
        <v>114.45333333333333</v>
      </c>
      <c r="I36" s="75"/>
      <c r="J36" s="75"/>
    </row>
    <row r="37" spans="1:10" x14ac:dyDescent="0.25">
      <c r="A37" s="56" t="s">
        <v>176</v>
      </c>
      <c r="B37" s="57">
        <f>5.32+1.54</f>
        <v>6.86</v>
      </c>
      <c r="C37" s="58"/>
      <c r="D37" s="58"/>
      <c r="E37" s="58"/>
      <c r="F37" s="58"/>
      <c r="G37" s="58"/>
      <c r="H37" s="58"/>
      <c r="I37" s="76"/>
      <c r="J37" s="76"/>
    </row>
    <row r="38" spans="1:10" x14ac:dyDescent="0.25">
      <c r="A38" s="56" t="s">
        <v>177</v>
      </c>
      <c r="B38" s="57">
        <v>6.84</v>
      </c>
      <c r="C38" s="58"/>
      <c r="D38" s="58"/>
      <c r="E38" s="58"/>
      <c r="F38" s="58"/>
      <c r="G38" s="58"/>
      <c r="H38" s="58"/>
      <c r="I38" s="76"/>
      <c r="J38" s="76"/>
    </row>
    <row r="39" spans="1:10" x14ac:dyDescent="0.25">
      <c r="A39" s="56" t="s">
        <v>178</v>
      </c>
      <c r="B39" s="57">
        <v>7.76</v>
      </c>
      <c r="C39" s="58"/>
      <c r="D39" s="58"/>
      <c r="E39" s="58"/>
      <c r="F39" s="58"/>
      <c r="G39" s="58"/>
      <c r="H39" s="58"/>
      <c r="I39" s="76"/>
      <c r="J39" s="76"/>
    </row>
  </sheetData>
  <mergeCells count="11">
    <mergeCell ref="A6:K6"/>
    <mergeCell ref="A7:B7"/>
    <mergeCell ref="E9:H9"/>
    <mergeCell ref="A10:B10"/>
    <mergeCell ref="A23:H23"/>
    <mergeCell ref="A24:H24"/>
    <mergeCell ref="A26:A27"/>
    <mergeCell ref="B26:B27"/>
    <mergeCell ref="C26:C27"/>
    <mergeCell ref="D26:D27"/>
    <mergeCell ref="E26:H2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00"/>
  <sheetViews>
    <sheetView zoomScale="70" zoomScaleNormal="70" workbookViewId="0">
      <selection activeCell="S6" sqref="S6"/>
    </sheetView>
  </sheetViews>
  <sheetFormatPr defaultRowHeight="15" x14ac:dyDescent="0.25"/>
  <cols>
    <col min="1" max="1" width="12.85546875" style="1" bestFit="1" customWidth="1"/>
    <col min="2" max="2" width="6.85546875" style="1" bestFit="1" customWidth="1"/>
    <col min="3" max="3" width="13.5703125" style="36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hidden="1" customWidth="1"/>
    <col min="9" max="9" width="18" style="1" hidden="1" customWidth="1"/>
    <col min="10" max="10" width="8.85546875" style="1" hidden="1" customWidth="1"/>
    <col min="11" max="11" width="17.7109375" style="1" hidden="1" customWidth="1"/>
    <col min="12" max="12" width="16.7109375" style="1" hidden="1" customWidth="1"/>
    <col min="13" max="13" width="14.5703125" style="1" bestFit="1" customWidth="1"/>
    <col min="14" max="14" width="3.285156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81" t="s">
        <v>210</v>
      </c>
      <c r="E2" s="82" t="s">
        <v>211</v>
      </c>
      <c r="J2" s="25"/>
      <c r="O2" s="98" t="s">
        <v>215</v>
      </c>
      <c r="P2" s="99"/>
      <c r="Q2" s="99"/>
      <c r="R2" s="99"/>
      <c r="S2" s="99"/>
      <c r="T2" s="99"/>
      <c r="V2" s="86" t="s">
        <v>213</v>
      </c>
      <c r="W2" s="86"/>
    </row>
    <row r="3" spans="1:23" x14ac:dyDescent="0.25">
      <c r="D3" s="81" t="s">
        <v>212</v>
      </c>
      <c r="E3" s="83">
        <v>43344</v>
      </c>
    </row>
    <row r="4" spans="1:23" ht="15.75" thickBot="1" x14ac:dyDescent="0.3">
      <c r="O4" s="100" t="s">
        <v>29</v>
      </c>
      <c r="P4" s="101"/>
      <c r="Q4" s="100" t="s">
        <v>30</v>
      </c>
      <c r="R4" s="101"/>
      <c r="S4" s="100" t="s">
        <v>41</v>
      </c>
      <c r="T4" s="101"/>
    </row>
    <row r="5" spans="1:23" ht="15.75" thickBot="1" x14ac:dyDescent="0.3">
      <c r="A5" s="92" t="s">
        <v>27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4"/>
      <c r="O5" s="84" t="s">
        <v>31</v>
      </c>
      <c r="P5" s="84" t="s">
        <v>32</v>
      </c>
      <c r="Q5" s="84" t="s">
        <v>31</v>
      </c>
      <c r="R5" s="84" t="s">
        <v>32</v>
      </c>
      <c r="S5" s="84" t="s">
        <v>31</v>
      </c>
      <c r="T5" s="84" t="s">
        <v>32</v>
      </c>
      <c r="V5" s="26" t="s">
        <v>31</v>
      </c>
      <c r="W5" s="26" t="s">
        <v>32</v>
      </c>
    </row>
    <row r="6" spans="1:23" ht="15.75" thickBot="1" x14ac:dyDescent="0.3"/>
    <row r="7" spans="1:23" ht="15.75" thickBot="1" x14ac:dyDescent="0.3">
      <c r="A7" s="95" t="s">
        <v>14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7"/>
    </row>
    <row r="8" spans="1:23" x14ac:dyDescent="0.25">
      <c r="A8" s="90" t="s">
        <v>15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1"/>
      <c r="O8" s="90"/>
      <c r="P8" s="90"/>
      <c r="Q8" s="90"/>
      <c r="R8" s="90"/>
      <c r="S8" s="90"/>
      <c r="T8" s="90"/>
    </row>
    <row r="9" spans="1:23" x14ac:dyDescent="0.25">
      <c r="A9" s="2" t="s">
        <v>2</v>
      </c>
      <c r="B9" s="3" t="s">
        <v>3</v>
      </c>
      <c r="C9" s="3" t="s">
        <v>4</v>
      </c>
      <c r="D9" s="3" t="s">
        <v>5</v>
      </c>
      <c r="E9" s="4" t="s">
        <v>6</v>
      </c>
      <c r="F9" s="3" t="s">
        <v>7</v>
      </c>
      <c r="G9" s="3" t="s">
        <v>33</v>
      </c>
      <c r="H9" s="3" t="s">
        <v>34</v>
      </c>
      <c r="I9" s="5" t="s">
        <v>35</v>
      </c>
      <c r="J9" s="5" t="s">
        <v>36</v>
      </c>
      <c r="K9" s="3" t="s">
        <v>37</v>
      </c>
      <c r="L9" s="3" t="s">
        <v>38</v>
      </c>
      <c r="M9" s="5" t="s">
        <v>39</v>
      </c>
    </row>
    <row r="10" spans="1:23" x14ac:dyDescent="0.25">
      <c r="A10" s="79" t="s">
        <v>16</v>
      </c>
      <c r="B10" s="79" t="s">
        <v>9</v>
      </c>
      <c r="C10" s="79" t="s">
        <v>17</v>
      </c>
      <c r="D10" s="16" t="s">
        <v>18</v>
      </c>
      <c r="E10" s="14">
        <v>1</v>
      </c>
      <c r="F10" s="7" t="s">
        <v>122</v>
      </c>
      <c r="G10" s="42">
        <v>218.54</v>
      </c>
      <c r="H10" s="42">
        <v>0</v>
      </c>
      <c r="I10" s="38">
        <f>G10+H10</f>
        <v>218.54</v>
      </c>
      <c r="J10" s="39">
        <v>0.27779999999999999</v>
      </c>
      <c r="K10" s="40">
        <f>$E10*G10*(1+$J10)</f>
        <v>279.25041199999998</v>
      </c>
      <c r="L10" s="40">
        <f t="shared" ref="L10:M12" si="0">$E10*H10*(1+$J10)</f>
        <v>0</v>
      </c>
      <c r="M10" s="40">
        <f t="shared" si="0"/>
        <v>279.25041199999998</v>
      </c>
      <c r="O10" s="34">
        <v>1</v>
      </c>
      <c r="P10" s="35">
        <f>O10*$M10</f>
        <v>279.25041199999998</v>
      </c>
      <c r="Q10" s="28"/>
      <c r="R10" s="28"/>
      <c r="S10" s="28"/>
      <c r="T10" s="28"/>
      <c r="V10" s="29">
        <f>O10+Q10+S10</f>
        <v>1</v>
      </c>
      <c r="W10" s="8">
        <f>P10+R10+T10</f>
        <v>279.25041199999998</v>
      </c>
    </row>
    <row r="11" spans="1:23" ht="30" x14ac:dyDescent="0.25">
      <c r="A11" s="6" t="s">
        <v>8</v>
      </c>
      <c r="B11" s="18" t="s">
        <v>10</v>
      </c>
      <c r="C11" s="15" t="s">
        <v>120</v>
      </c>
      <c r="D11" s="16" t="s">
        <v>20</v>
      </c>
      <c r="E11" s="14">
        <v>20</v>
      </c>
      <c r="F11" s="7" t="s">
        <v>67</v>
      </c>
      <c r="G11" s="42">
        <v>0.4</v>
      </c>
      <c r="H11" s="42">
        <v>70.260000000000005</v>
      </c>
      <c r="I11" s="38">
        <f t="shared" ref="I11:I12" si="1">G11+H11</f>
        <v>70.660000000000011</v>
      </c>
      <c r="J11" s="39">
        <v>0.27779999999999999</v>
      </c>
      <c r="K11" s="40">
        <f t="shared" ref="K11:K12" si="2">$E11*G11*(1+$J11)</f>
        <v>10.2224</v>
      </c>
      <c r="L11" s="40">
        <f t="shared" si="0"/>
        <v>1795.56456</v>
      </c>
      <c r="M11" s="40">
        <f t="shared" si="0"/>
        <v>1805.7869600000004</v>
      </c>
      <c r="O11" s="34">
        <v>0.5</v>
      </c>
      <c r="P11" s="35">
        <f>O11*$M11</f>
        <v>902.89348000000018</v>
      </c>
      <c r="Q11" s="34">
        <v>0.5</v>
      </c>
      <c r="R11" s="35">
        <f>Q11*$M11</f>
        <v>902.89348000000018</v>
      </c>
      <c r="S11" s="28"/>
      <c r="T11" s="28"/>
      <c r="V11" s="29">
        <f t="shared" ref="V11:V12" si="3">O11+Q11+S11</f>
        <v>1</v>
      </c>
      <c r="W11" s="8">
        <f>P11+R11+T11</f>
        <v>1805.7869600000004</v>
      </c>
    </row>
    <row r="12" spans="1:23" ht="30" x14ac:dyDescent="0.25">
      <c r="A12" s="6" t="s">
        <v>8</v>
      </c>
      <c r="B12" s="18" t="s">
        <v>11</v>
      </c>
      <c r="C12" s="15" t="s">
        <v>121</v>
      </c>
      <c r="D12" s="16" t="s">
        <v>21</v>
      </c>
      <c r="E12" s="14">
        <v>40</v>
      </c>
      <c r="F12" s="7" t="s">
        <v>67</v>
      </c>
      <c r="G12" s="42">
        <v>2.99</v>
      </c>
      <c r="H12" s="42">
        <v>19.010000000000002</v>
      </c>
      <c r="I12" s="38">
        <f t="shared" si="1"/>
        <v>22</v>
      </c>
      <c r="J12" s="39">
        <v>0.27779999999999999</v>
      </c>
      <c r="K12" s="40">
        <f t="shared" si="2"/>
        <v>152.82488000000001</v>
      </c>
      <c r="L12" s="40">
        <f t="shared" si="0"/>
        <v>971.63912000000016</v>
      </c>
      <c r="M12" s="40">
        <f t="shared" si="0"/>
        <v>1124.4639999999999</v>
      </c>
      <c r="O12" s="34">
        <v>0.5</v>
      </c>
      <c r="P12" s="35">
        <f>O12*$M12</f>
        <v>562.23199999999997</v>
      </c>
      <c r="Q12" s="34">
        <v>0.5</v>
      </c>
      <c r="R12" s="35">
        <f>Q12*$M12</f>
        <v>562.23199999999997</v>
      </c>
      <c r="S12" s="28"/>
      <c r="T12" s="28"/>
      <c r="V12" s="29">
        <f t="shared" si="3"/>
        <v>1</v>
      </c>
      <c r="W12" s="8">
        <f>P12+R12+T12</f>
        <v>1124.4639999999999</v>
      </c>
    </row>
    <row r="13" spans="1:23" x14ac:dyDescent="0.25">
      <c r="A13" s="20"/>
      <c r="B13" s="21"/>
      <c r="C13" s="37"/>
      <c r="D13" s="22"/>
      <c r="E13" s="23"/>
      <c r="F13" s="24"/>
      <c r="G13" s="24"/>
      <c r="H13" s="24"/>
      <c r="I13" s="32" t="s">
        <v>40</v>
      </c>
      <c r="J13" s="32"/>
      <c r="K13" s="33">
        <f t="shared" ref="K13:L13" si="4">SUM(K10:K12)</f>
        <v>442.29769199999998</v>
      </c>
      <c r="L13" s="33">
        <f t="shared" si="4"/>
        <v>2767.2036800000001</v>
      </c>
      <c r="M13" s="33">
        <f>SUM(M10:M12)</f>
        <v>3209.5013720000002</v>
      </c>
      <c r="P13" s="33">
        <f>SUM(P10:P12)</f>
        <v>1744.375892</v>
      </c>
      <c r="R13" s="33">
        <f>SUM(R10:R12)</f>
        <v>1465.1254800000002</v>
      </c>
      <c r="T13" s="33">
        <f>SUM(T10:T12)</f>
        <v>0</v>
      </c>
    </row>
    <row r="14" spans="1:23" ht="15.75" thickBot="1" x14ac:dyDescent="0.3"/>
    <row r="15" spans="1:23" ht="15.75" thickBot="1" x14ac:dyDescent="0.3">
      <c r="A15" s="95" t="s">
        <v>0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7"/>
    </row>
    <row r="16" spans="1:23" ht="15.75" thickBot="1" x14ac:dyDescent="0.3">
      <c r="A16" s="90" t="s">
        <v>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O16" s="90"/>
      <c r="P16" s="90"/>
      <c r="Q16" s="90"/>
      <c r="R16" s="90"/>
      <c r="S16" s="90"/>
      <c r="T16" s="90"/>
    </row>
    <row r="17" spans="1:23" x14ac:dyDescent="0.25">
      <c r="A17" s="10" t="s">
        <v>2</v>
      </c>
      <c r="B17" s="11" t="s">
        <v>3</v>
      </c>
      <c r="C17" s="11" t="s">
        <v>4</v>
      </c>
      <c r="D17" s="12" t="s">
        <v>5</v>
      </c>
      <c r="E17" s="4" t="s">
        <v>6</v>
      </c>
      <c r="F17" s="3" t="s">
        <v>7</v>
      </c>
      <c r="G17" s="3" t="s">
        <v>33</v>
      </c>
      <c r="H17" s="3" t="s">
        <v>34</v>
      </c>
      <c r="I17" s="5" t="s">
        <v>35</v>
      </c>
      <c r="J17" s="5" t="s">
        <v>36</v>
      </c>
      <c r="K17" s="3" t="s">
        <v>37</v>
      </c>
      <c r="L17" s="3" t="s">
        <v>38</v>
      </c>
      <c r="M17" s="5" t="s">
        <v>39</v>
      </c>
    </row>
    <row r="18" spans="1:23" x14ac:dyDescent="0.25">
      <c r="A18" s="6" t="s">
        <v>8</v>
      </c>
      <c r="B18" s="6" t="s">
        <v>9</v>
      </c>
      <c r="C18" s="19" t="s">
        <v>124</v>
      </c>
      <c r="D18" s="13" t="s">
        <v>22</v>
      </c>
      <c r="E18" s="14">
        <v>6</v>
      </c>
      <c r="F18" s="6" t="s">
        <v>23</v>
      </c>
      <c r="G18" s="42">
        <f>0.15+271.29</f>
        <v>271.44</v>
      </c>
      <c r="H18" s="42">
        <v>30.78</v>
      </c>
      <c r="I18" s="38">
        <f t="shared" ref="I18:I22" si="5">G18+H18</f>
        <v>302.22000000000003</v>
      </c>
      <c r="J18" s="39">
        <v>0.27779999999999999</v>
      </c>
      <c r="K18" s="40">
        <f t="shared" ref="K18:M22" si="6">$E18*G18*(1+$J18)</f>
        <v>2081.076192</v>
      </c>
      <c r="L18" s="40">
        <f t="shared" si="6"/>
        <v>235.98410400000003</v>
      </c>
      <c r="M18" s="40">
        <f t="shared" si="6"/>
        <v>2317.0602960000001</v>
      </c>
      <c r="O18" s="34">
        <v>1</v>
      </c>
      <c r="P18" s="35">
        <f>O18*$M18</f>
        <v>2317.0602960000001</v>
      </c>
      <c r="Q18" s="28"/>
      <c r="R18" s="28"/>
      <c r="S18" s="28"/>
      <c r="T18" s="28"/>
      <c r="V18" s="29">
        <f t="shared" ref="V18:W22" si="7">O18+Q18+S18</f>
        <v>1</v>
      </c>
      <c r="W18" s="8">
        <f t="shared" si="7"/>
        <v>2317.0602960000001</v>
      </c>
    </row>
    <row r="19" spans="1:23" ht="60" x14ac:dyDescent="0.25">
      <c r="A19" s="6" t="s">
        <v>8</v>
      </c>
      <c r="B19" s="6" t="s">
        <v>10</v>
      </c>
      <c r="C19" s="19" t="s">
        <v>123</v>
      </c>
      <c r="D19" s="41" t="s">
        <v>125</v>
      </c>
      <c r="E19" s="14">
        <v>2</v>
      </c>
      <c r="F19" s="6" t="s">
        <v>24</v>
      </c>
      <c r="G19" s="42">
        <v>394.53</v>
      </c>
      <c r="H19" s="42">
        <v>0</v>
      </c>
      <c r="I19" s="38">
        <f t="shared" si="5"/>
        <v>394.53</v>
      </c>
      <c r="J19" s="39">
        <v>0.27779999999999999</v>
      </c>
      <c r="K19" s="40">
        <f t="shared" si="6"/>
        <v>1008.260868</v>
      </c>
      <c r="L19" s="40">
        <f t="shared" si="6"/>
        <v>0</v>
      </c>
      <c r="M19" s="40">
        <f t="shared" si="6"/>
        <v>1008.260868</v>
      </c>
      <c r="O19" s="34">
        <v>0.5</v>
      </c>
      <c r="P19" s="35">
        <f>O19*$M19</f>
        <v>504.13043399999998</v>
      </c>
      <c r="Q19" s="34">
        <v>0.5</v>
      </c>
      <c r="R19" s="35">
        <f>Q19*$M19</f>
        <v>504.13043399999998</v>
      </c>
      <c r="S19" s="28"/>
      <c r="T19" s="28"/>
      <c r="V19" s="29">
        <f t="shared" si="7"/>
        <v>1</v>
      </c>
      <c r="W19" s="8">
        <f t="shared" si="7"/>
        <v>1008.260868</v>
      </c>
    </row>
    <row r="20" spans="1:23" ht="60" x14ac:dyDescent="0.25">
      <c r="A20" s="6" t="s">
        <v>8</v>
      </c>
      <c r="B20" s="6" t="s">
        <v>11</v>
      </c>
      <c r="C20" s="19" t="s">
        <v>123</v>
      </c>
      <c r="D20" s="41" t="s">
        <v>125</v>
      </c>
      <c r="E20" s="14">
        <v>2</v>
      </c>
      <c r="F20" s="6" t="s">
        <v>24</v>
      </c>
      <c r="G20" s="42">
        <v>394.53</v>
      </c>
      <c r="H20" s="42">
        <v>0</v>
      </c>
      <c r="I20" s="38">
        <f t="shared" si="5"/>
        <v>394.53</v>
      </c>
      <c r="J20" s="39">
        <v>0.27779999999999999</v>
      </c>
      <c r="K20" s="40">
        <f t="shared" si="6"/>
        <v>1008.260868</v>
      </c>
      <c r="L20" s="40">
        <f t="shared" si="6"/>
        <v>0</v>
      </c>
      <c r="M20" s="40">
        <f t="shared" si="6"/>
        <v>1008.260868</v>
      </c>
      <c r="O20" s="34">
        <v>0.5</v>
      </c>
      <c r="P20" s="35">
        <f>O20*$M20</f>
        <v>504.13043399999998</v>
      </c>
      <c r="Q20" s="34">
        <v>0.5</v>
      </c>
      <c r="R20" s="35">
        <f>Q20*$M20</f>
        <v>504.13043399999998</v>
      </c>
      <c r="S20" s="28"/>
      <c r="T20" s="28"/>
      <c r="V20" s="29">
        <f t="shared" si="7"/>
        <v>1</v>
      </c>
      <c r="W20" s="8">
        <f t="shared" si="7"/>
        <v>1008.260868</v>
      </c>
    </row>
    <row r="21" spans="1:23" x14ac:dyDescent="0.25">
      <c r="A21" s="6" t="s">
        <v>8</v>
      </c>
      <c r="B21" s="6" t="s">
        <v>12</v>
      </c>
      <c r="C21" s="19" t="s">
        <v>126</v>
      </c>
      <c r="D21" s="13" t="s">
        <v>25</v>
      </c>
      <c r="E21" s="14">
        <v>374.86</v>
      </c>
      <c r="F21" s="6" t="s">
        <v>23</v>
      </c>
      <c r="G21" s="42">
        <f>56.86+0.01</f>
        <v>56.87</v>
      </c>
      <c r="H21" s="42">
        <v>4.5199999999999996</v>
      </c>
      <c r="I21" s="38">
        <f t="shared" si="5"/>
        <v>61.39</v>
      </c>
      <c r="J21" s="39">
        <v>0.27779999999999999</v>
      </c>
      <c r="K21" s="40">
        <f t="shared" si="6"/>
        <v>27240.508661960001</v>
      </c>
      <c r="L21" s="40">
        <f t="shared" si="6"/>
        <v>2165.0624081599999</v>
      </c>
      <c r="M21" s="40">
        <f t="shared" si="6"/>
        <v>29405.571070120001</v>
      </c>
      <c r="O21" s="34">
        <v>1</v>
      </c>
      <c r="P21" s="35">
        <f>O21*$M21</f>
        <v>29405.571070120001</v>
      </c>
      <c r="Q21" s="28"/>
      <c r="R21" s="28"/>
      <c r="S21" s="28"/>
      <c r="T21" s="28"/>
      <c r="V21" s="29">
        <f t="shared" si="7"/>
        <v>1</v>
      </c>
      <c r="W21" s="8">
        <f t="shared" si="7"/>
        <v>29405.571070120001</v>
      </c>
    </row>
    <row r="22" spans="1:23" ht="45" x14ac:dyDescent="0.25">
      <c r="A22" s="6" t="s">
        <v>8</v>
      </c>
      <c r="B22" s="6" t="s">
        <v>13</v>
      </c>
      <c r="C22" s="19" t="s">
        <v>127</v>
      </c>
      <c r="D22" s="13" t="s">
        <v>26</v>
      </c>
      <c r="E22" s="14">
        <v>520.41</v>
      </c>
      <c r="F22" s="6" t="s">
        <v>23</v>
      </c>
      <c r="G22" s="42">
        <v>1.26</v>
      </c>
      <c r="H22" s="42">
        <v>2.23</v>
      </c>
      <c r="I22" s="38">
        <f t="shared" si="5"/>
        <v>3.49</v>
      </c>
      <c r="J22" s="39">
        <v>0.27779999999999999</v>
      </c>
      <c r="K22" s="40">
        <f t="shared" si="6"/>
        <v>837.87467147999996</v>
      </c>
      <c r="L22" s="40">
        <f t="shared" si="6"/>
        <v>1482.9051725399997</v>
      </c>
      <c r="M22" s="40">
        <f t="shared" si="6"/>
        <v>2320.7798440199999</v>
      </c>
      <c r="O22" s="34">
        <v>1</v>
      </c>
      <c r="P22" s="35">
        <f>O22*$M22</f>
        <v>2320.7798440199999</v>
      </c>
      <c r="Q22" s="28"/>
      <c r="R22" s="28"/>
      <c r="S22" s="28"/>
      <c r="T22" s="28"/>
      <c r="V22" s="29">
        <f t="shared" si="7"/>
        <v>1</v>
      </c>
      <c r="W22" s="8">
        <f t="shared" si="7"/>
        <v>2320.7798440199999</v>
      </c>
    </row>
    <row r="23" spans="1:23" x14ac:dyDescent="0.25">
      <c r="I23" s="32" t="s">
        <v>40</v>
      </c>
      <c r="J23" s="32"/>
      <c r="K23" s="33">
        <f t="shared" ref="K23:L23" si="8">SUM(K18:K22)</f>
        <v>32175.98126144</v>
      </c>
      <c r="L23" s="33">
        <f t="shared" si="8"/>
        <v>3883.9516846999995</v>
      </c>
      <c r="M23" s="33">
        <f>SUM(M18:M22)</f>
        <v>36059.932946139998</v>
      </c>
      <c r="P23" s="33">
        <f>SUM(P18:P22)</f>
        <v>35051.67207814</v>
      </c>
      <c r="R23" s="33">
        <f>SUM(R18:R22)</f>
        <v>1008.260868</v>
      </c>
      <c r="T23" s="33">
        <f>SUM(T18:T22)</f>
        <v>0</v>
      </c>
    </row>
    <row r="24" spans="1:23" ht="15.75" thickBot="1" x14ac:dyDescent="0.3"/>
    <row r="25" spans="1:23" ht="15.75" thickBot="1" x14ac:dyDescent="0.3">
      <c r="A25" s="95" t="s">
        <v>44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7"/>
    </row>
    <row r="26" spans="1:23" x14ac:dyDescent="0.25">
      <c r="A26" s="90" t="s">
        <v>43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1"/>
      <c r="O26" s="90"/>
      <c r="P26" s="90"/>
      <c r="Q26" s="90"/>
      <c r="R26" s="90"/>
      <c r="S26" s="90"/>
      <c r="T26" s="90"/>
    </row>
    <row r="27" spans="1:23" x14ac:dyDescent="0.25">
      <c r="A27" s="2" t="s">
        <v>2</v>
      </c>
      <c r="B27" s="3" t="s">
        <v>3</v>
      </c>
      <c r="C27" s="3" t="s">
        <v>4</v>
      </c>
      <c r="D27" s="3" t="s">
        <v>5</v>
      </c>
      <c r="E27" s="4" t="s">
        <v>6</v>
      </c>
      <c r="F27" s="3" t="s">
        <v>7</v>
      </c>
      <c r="G27" s="3" t="s">
        <v>33</v>
      </c>
      <c r="H27" s="3" t="s">
        <v>34</v>
      </c>
      <c r="I27" s="5" t="s">
        <v>35</v>
      </c>
      <c r="J27" s="5" t="s">
        <v>36</v>
      </c>
      <c r="K27" s="3" t="s">
        <v>37</v>
      </c>
      <c r="L27" s="3" t="s">
        <v>38</v>
      </c>
      <c r="M27" s="5" t="s">
        <v>39</v>
      </c>
    </row>
    <row r="28" spans="1:23" x14ac:dyDescent="0.25">
      <c r="A28" s="15" t="s">
        <v>16</v>
      </c>
      <c r="B28" s="15" t="s">
        <v>9</v>
      </c>
      <c r="C28" s="15" t="s">
        <v>17</v>
      </c>
      <c r="D28" s="16" t="s">
        <v>18</v>
      </c>
      <c r="E28" s="14">
        <v>1</v>
      </c>
      <c r="F28" s="7" t="s">
        <v>122</v>
      </c>
      <c r="G28" s="42">
        <v>218.54</v>
      </c>
      <c r="H28" s="42">
        <v>0</v>
      </c>
      <c r="I28" s="38">
        <f t="shared" ref="I28:I30" si="9">G28+H28</f>
        <v>218.54</v>
      </c>
      <c r="J28" s="39">
        <v>0.27779999999999999</v>
      </c>
      <c r="K28" s="40">
        <f t="shared" ref="K28:M30" si="10">$E28*G28*(1+$J28)</f>
        <v>279.25041199999998</v>
      </c>
      <c r="L28" s="40">
        <f t="shared" si="10"/>
        <v>0</v>
      </c>
      <c r="M28" s="40">
        <f t="shared" si="10"/>
        <v>279.25041199999998</v>
      </c>
      <c r="O28" s="34">
        <v>1</v>
      </c>
      <c r="P28" s="35">
        <f>O28*$M28</f>
        <v>279.25041199999998</v>
      </c>
      <c r="Q28" s="28"/>
      <c r="R28" s="28"/>
      <c r="S28" s="28"/>
      <c r="T28" s="28"/>
      <c r="V28" s="29">
        <f t="shared" ref="V28:W30" si="11">O28+Q28+S28</f>
        <v>1</v>
      </c>
      <c r="W28" s="8">
        <f t="shared" si="11"/>
        <v>279.25041199999998</v>
      </c>
    </row>
    <row r="29" spans="1:23" ht="30" x14ac:dyDescent="0.25">
      <c r="A29" s="6" t="s">
        <v>8</v>
      </c>
      <c r="B29" s="18" t="s">
        <v>10</v>
      </c>
      <c r="C29" s="15" t="s">
        <v>120</v>
      </c>
      <c r="D29" s="16" t="s">
        <v>20</v>
      </c>
      <c r="E29" s="17">
        <v>160</v>
      </c>
      <c r="F29" s="7" t="s">
        <v>67</v>
      </c>
      <c r="G29" s="42">
        <v>0.4</v>
      </c>
      <c r="H29" s="42">
        <v>70.260000000000005</v>
      </c>
      <c r="I29" s="38">
        <f t="shared" si="9"/>
        <v>70.660000000000011</v>
      </c>
      <c r="J29" s="39">
        <v>0.27779999999999999</v>
      </c>
      <c r="K29" s="40">
        <f t="shared" si="10"/>
        <v>81.779200000000003</v>
      </c>
      <c r="L29" s="40">
        <f t="shared" si="10"/>
        <v>14364.51648</v>
      </c>
      <c r="M29" s="40">
        <f t="shared" si="10"/>
        <v>14446.295680000003</v>
      </c>
      <c r="O29" s="28"/>
      <c r="P29" s="28"/>
      <c r="Q29" s="34">
        <v>0.5</v>
      </c>
      <c r="R29" s="35">
        <f>Q29*$M29</f>
        <v>7223.1478400000015</v>
      </c>
      <c r="S29" s="34">
        <v>0.5</v>
      </c>
      <c r="T29" s="35">
        <f>S29*$M29</f>
        <v>7223.1478400000015</v>
      </c>
      <c r="V29" s="29">
        <f t="shared" si="11"/>
        <v>1</v>
      </c>
      <c r="W29" s="8">
        <f t="shared" si="11"/>
        <v>14446.295680000003</v>
      </c>
    </row>
    <row r="30" spans="1:23" ht="30" x14ac:dyDescent="0.25">
      <c r="A30" s="6" t="s">
        <v>8</v>
      </c>
      <c r="B30" s="18" t="s">
        <v>11</v>
      </c>
      <c r="C30" s="15" t="s">
        <v>121</v>
      </c>
      <c r="D30" s="16" t="s">
        <v>21</v>
      </c>
      <c r="E30" s="9">
        <v>320</v>
      </c>
      <c r="F30" s="7" t="s">
        <v>67</v>
      </c>
      <c r="G30" s="42">
        <v>2.99</v>
      </c>
      <c r="H30" s="42">
        <v>19.010000000000002</v>
      </c>
      <c r="I30" s="38">
        <f t="shared" si="9"/>
        <v>22</v>
      </c>
      <c r="J30" s="39">
        <v>0.27779999999999999</v>
      </c>
      <c r="K30" s="40">
        <f t="shared" si="10"/>
        <v>1222.5990400000001</v>
      </c>
      <c r="L30" s="40">
        <f t="shared" si="10"/>
        <v>7773.1129600000013</v>
      </c>
      <c r="M30" s="40">
        <f t="shared" si="10"/>
        <v>8995.7119999999995</v>
      </c>
      <c r="O30" s="28"/>
      <c r="P30" s="28"/>
      <c r="Q30" s="34">
        <v>0.5</v>
      </c>
      <c r="R30" s="35">
        <f>Q30*$M30</f>
        <v>4497.8559999999998</v>
      </c>
      <c r="S30" s="34">
        <v>0.5</v>
      </c>
      <c r="T30" s="35">
        <f>S30*$M30</f>
        <v>4497.8559999999998</v>
      </c>
      <c r="V30" s="29">
        <f t="shared" si="11"/>
        <v>1</v>
      </c>
      <c r="W30" s="8">
        <f t="shared" si="11"/>
        <v>8995.7119999999995</v>
      </c>
    </row>
    <row r="31" spans="1:23" x14ac:dyDescent="0.25">
      <c r="A31" s="20"/>
      <c r="B31" s="21"/>
      <c r="C31" s="37"/>
      <c r="D31" s="22"/>
      <c r="E31" s="23"/>
      <c r="F31" s="24"/>
      <c r="G31" s="24"/>
      <c r="H31" s="24"/>
      <c r="I31" s="32" t="s">
        <v>40</v>
      </c>
      <c r="J31" s="32"/>
      <c r="K31" s="33">
        <f t="shared" ref="K31:L31" si="12">SUM(K28:K30)</f>
        <v>1583.6286520000001</v>
      </c>
      <c r="L31" s="33">
        <f t="shared" si="12"/>
        <v>22137.629440000001</v>
      </c>
      <c r="M31" s="33">
        <f>SUM(M28:M30)</f>
        <v>23721.258092000004</v>
      </c>
      <c r="P31" s="33">
        <f>SUM(P28:P30)</f>
        <v>279.25041199999998</v>
      </c>
      <c r="R31" s="33">
        <f>SUM(R28:R30)</f>
        <v>11721.003840000001</v>
      </c>
      <c r="T31" s="33">
        <f>SUM(T28:T30)</f>
        <v>11721.003840000001</v>
      </c>
    </row>
    <row r="32" spans="1:23" ht="15.75" thickBot="1" x14ac:dyDescent="0.3"/>
    <row r="33" spans="1:23" ht="15.75" thickBot="1" x14ac:dyDescent="0.3">
      <c r="A33" s="95" t="s">
        <v>45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7"/>
    </row>
    <row r="34" spans="1:23" ht="15.75" thickBot="1" x14ac:dyDescent="0.3">
      <c r="A34" s="90" t="s">
        <v>46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1"/>
      <c r="O34" s="90"/>
      <c r="P34" s="90"/>
      <c r="Q34" s="90"/>
      <c r="R34" s="90"/>
      <c r="S34" s="90"/>
      <c r="T34" s="90"/>
    </row>
    <row r="35" spans="1:23" x14ac:dyDescent="0.25">
      <c r="A35" s="10" t="s">
        <v>2</v>
      </c>
      <c r="B35" s="11" t="s">
        <v>3</v>
      </c>
      <c r="C35" s="11" t="s">
        <v>4</v>
      </c>
      <c r="D35" s="12" t="s">
        <v>5</v>
      </c>
      <c r="E35" s="4" t="s">
        <v>6</v>
      </c>
      <c r="F35" s="3" t="s">
        <v>7</v>
      </c>
      <c r="G35" s="3" t="s">
        <v>33</v>
      </c>
      <c r="H35" s="3" t="s">
        <v>34</v>
      </c>
      <c r="I35" s="5" t="s">
        <v>35</v>
      </c>
      <c r="J35" s="5" t="s">
        <v>36</v>
      </c>
      <c r="K35" s="3" t="s">
        <v>37</v>
      </c>
      <c r="L35" s="3" t="s">
        <v>38</v>
      </c>
      <c r="M35" s="5" t="s">
        <v>39</v>
      </c>
    </row>
    <row r="36" spans="1:23" ht="30" x14ac:dyDescent="0.25">
      <c r="A36" s="6" t="s">
        <v>8</v>
      </c>
      <c r="B36" s="6" t="s">
        <v>9</v>
      </c>
      <c r="C36" s="19" t="s">
        <v>128</v>
      </c>
      <c r="D36" s="13" t="s">
        <v>130</v>
      </c>
      <c r="E36" s="14">
        <v>433.28</v>
      </c>
      <c r="F36" s="6" t="s">
        <v>47</v>
      </c>
      <c r="G36" s="42">
        <v>7.05</v>
      </c>
      <c r="H36" s="42">
        <v>1.49</v>
      </c>
      <c r="I36" s="38">
        <f t="shared" ref="I36:I42" si="13">G36+H36</f>
        <v>8.5399999999999991</v>
      </c>
      <c r="J36" s="39">
        <v>0.27779999999999999</v>
      </c>
      <c r="K36" s="40">
        <f t="shared" ref="K36:M42" si="14">$E36*G36*(1+$J36)</f>
        <v>3903.1985471999997</v>
      </c>
      <c r="L36" s="40">
        <f t="shared" si="14"/>
        <v>824.93132415999992</v>
      </c>
      <c r="M36" s="40">
        <f t="shared" si="14"/>
        <v>4728.129871359999</v>
      </c>
      <c r="O36" s="28"/>
      <c r="P36" s="28"/>
      <c r="Q36" s="34">
        <v>1</v>
      </c>
      <c r="R36" s="35">
        <f t="shared" ref="R36:R42" si="15">Q36*$M36</f>
        <v>4728.129871359999</v>
      </c>
      <c r="S36" s="28"/>
      <c r="T36" s="28"/>
      <c r="V36" s="29">
        <f t="shared" ref="V36:W42" si="16">O36+Q36+S36</f>
        <v>1</v>
      </c>
      <c r="W36" s="8">
        <f t="shared" si="16"/>
        <v>4728.129871359999</v>
      </c>
    </row>
    <row r="37" spans="1:23" ht="30" x14ac:dyDescent="0.25">
      <c r="A37" s="6" t="s">
        <v>8</v>
      </c>
      <c r="B37" s="6" t="s">
        <v>10</v>
      </c>
      <c r="C37" s="19" t="s">
        <v>129</v>
      </c>
      <c r="D37" s="13" t="s">
        <v>131</v>
      </c>
      <c r="E37" s="14">
        <v>170</v>
      </c>
      <c r="F37" s="6" t="s">
        <v>47</v>
      </c>
      <c r="G37" s="42">
        <v>7.77</v>
      </c>
      <c r="H37" s="42">
        <v>4</v>
      </c>
      <c r="I37" s="38">
        <f t="shared" si="13"/>
        <v>11.77</v>
      </c>
      <c r="J37" s="39">
        <v>0.27779999999999999</v>
      </c>
      <c r="K37" s="40">
        <f t="shared" si="14"/>
        <v>1687.84602</v>
      </c>
      <c r="L37" s="40">
        <f t="shared" si="14"/>
        <v>868.904</v>
      </c>
      <c r="M37" s="40">
        <f t="shared" si="14"/>
        <v>2556.7500199999999</v>
      </c>
      <c r="O37" s="28"/>
      <c r="P37" s="28"/>
      <c r="Q37" s="34">
        <v>1</v>
      </c>
      <c r="R37" s="35">
        <f t="shared" si="15"/>
        <v>2556.7500199999999</v>
      </c>
      <c r="S37" s="28"/>
      <c r="T37" s="28"/>
      <c r="V37" s="29">
        <f t="shared" si="16"/>
        <v>1</v>
      </c>
      <c r="W37" s="8">
        <f t="shared" si="16"/>
        <v>2556.7500199999999</v>
      </c>
    </row>
    <row r="38" spans="1:23" ht="60" x14ac:dyDescent="0.25">
      <c r="A38" s="6" t="s">
        <v>8</v>
      </c>
      <c r="B38" s="6" t="s">
        <v>11</v>
      </c>
      <c r="C38" s="19" t="s">
        <v>132</v>
      </c>
      <c r="D38" s="13" t="s">
        <v>48</v>
      </c>
      <c r="E38" s="14">
        <v>266</v>
      </c>
      <c r="F38" s="6" t="s">
        <v>49</v>
      </c>
      <c r="G38" s="42">
        <f>7.59+21.79</f>
        <v>29.38</v>
      </c>
      <c r="H38" s="42">
        <v>17.29</v>
      </c>
      <c r="I38" s="38">
        <f t="shared" si="13"/>
        <v>46.67</v>
      </c>
      <c r="J38" s="39">
        <v>0.27779999999999999</v>
      </c>
      <c r="K38" s="40">
        <f t="shared" si="14"/>
        <v>9986.1092239999998</v>
      </c>
      <c r="L38" s="40">
        <f t="shared" si="14"/>
        <v>5876.7810919999993</v>
      </c>
      <c r="M38" s="40">
        <f t="shared" si="14"/>
        <v>15862.890316000003</v>
      </c>
      <c r="O38" s="28"/>
      <c r="P38" s="28"/>
      <c r="Q38" s="34">
        <v>1</v>
      </c>
      <c r="R38" s="35">
        <f t="shared" si="15"/>
        <v>15862.890316000003</v>
      </c>
      <c r="S38" s="28"/>
      <c r="T38" s="28"/>
      <c r="V38" s="29">
        <f t="shared" si="16"/>
        <v>1</v>
      </c>
      <c r="W38" s="8">
        <f t="shared" si="16"/>
        <v>15862.890316000003</v>
      </c>
    </row>
    <row r="39" spans="1:23" ht="30" x14ac:dyDescent="0.25">
      <c r="A39" s="6" t="s">
        <v>8</v>
      </c>
      <c r="B39" s="6" t="s">
        <v>12</v>
      </c>
      <c r="C39" s="19" t="s">
        <v>133</v>
      </c>
      <c r="D39" s="13" t="s">
        <v>50</v>
      </c>
      <c r="E39" s="14">
        <v>30.66</v>
      </c>
      <c r="F39" s="6" t="s">
        <v>51</v>
      </c>
      <c r="G39" s="42">
        <f>0.01+45.48+0.08</f>
        <v>45.569999999999993</v>
      </c>
      <c r="H39" s="42">
        <v>7.72</v>
      </c>
      <c r="I39" s="38">
        <f t="shared" si="13"/>
        <v>53.289999999999992</v>
      </c>
      <c r="J39" s="39">
        <v>0.27779999999999999</v>
      </c>
      <c r="K39" s="40">
        <f t="shared" si="14"/>
        <v>1785.3117483599999</v>
      </c>
      <c r="L39" s="40">
        <f t="shared" si="14"/>
        <v>302.44912656000002</v>
      </c>
      <c r="M39" s="40">
        <f t="shared" si="14"/>
        <v>2087.7608749199999</v>
      </c>
      <c r="O39" s="28"/>
      <c r="P39" s="28"/>
      <c r="Q39" s="34">
        <v>1</v>
      </c>
      <c r="R39" s="35">
        <f t="shared" si="15"/>
        <v>2087.7608749199999</v>
      </c>
      <c r="S39" s="28"/>
      <c r="T39" s="28"/>
      <c r="V39" s="29">
        <f t="shared" si="16"/>
        <v>1</v>
      </c>
      <c r="W39" s="8">
        <f t="shared" si="16"/>
        <v>2087.7608749199999</v>
      </c>
    </row>
    <row r="40" spans="1:23" ht="45" x14ac:dyDescent="0.25">
      <c r="A40" s="6" t="s">
        <v>8</v>
      </c>
      <c r="B40" s="6" t="s">
        <v>13</v>
      </c>
      <c r="C40" s="19" t="s">
        <v>134</v>
      </c>
      <c r="D40" s="13" t="s">
        <v>52</v>
      </c>
      <c r="E40" s="14">
        <v>5.6</v>
      </c>
      <c r="F40" s="6" t="s">
        <v>53</v>
      </c>
      <c r="G40" s="42">
        <f>0.51+259.69+0.49</f>
        <v>260.69</v>
      </c>
      <c r="H40" s="42">
        <v>42.16</v>
      </c>
      <c r="I40" s="38">
        <f t="shared" si="13"/>
        <v>302.85000000000002</v>
      </c>
      <c r="J40" s="39">
        <v>0.27779999999999999</v>
      </c>
      <c r="K40" s="40">
        <f t="shared" si="14"/>
        <v>1865.4142191999997</v>
      </c>
      <c r="L40" s="40">
        <f t="shared" si="14"/>
        <v>301.68346879999996</v>
      </c>
      <c r="M40" s="40">
        <f t="shared" si="14"/>
        <v>2167.0976880000003</v>
      </c>
      <c r="O40" s="28"/>
      <c r="P40" s="28"/>
      <c r="Q40" s="34">
        <v>1</v>
      </c>
      <c r="R40" s="35">
        <f t="shared" si="15"/>
        <v>2167.0976880000003</v>
      </c>
      <c r="S40" s="28"/>
      <c r="T40" s="28"/>
      <c r="V40" s="29">
        <f t="shared" si="16"/>
        <v>1</v>
      </c>
      <c r="W40" s="8">
        <f t="shared" si="16"/>
        <v>2167.0976880000003</v>
      </c>
    </row>
    <row r="41" spans="1:23" ht="30" x14ac:dyDescent="0.25">
      <c r="A41" s="6" t="s">
        <v>8</v>
      </c>
      <c r="B41" s="6" t="s">
        <v>54</v>
      </c>
      <c r="C41" s="19" t="s">
        <v>135</v>
      </c>
      <c r="D41" s="13" t="s">
        <v>55</v>
      </c>
      <c r="E41" s="14">
        <v>5.6</v>
      </c>
      <c r="F41" s="6" t="s">
        <v>53</v>
      </c>
      <c r="G41" s="42">
        <f>0.44+25.29+0.19</f>
        <v>25.92</v>
      </c>
      <c r="H41" s="42">
        <f>61.28</f>
        <v>61.28</v>
      </c>
      <c r="I41" s="38">
        <f t="shared" si="13"/>
        <v>87.2</v>
      </c>
      <c r="J41" s="39">
        <v>0.27779999999999999</v>
      </c>
      <c r="K41" s="40">
        <f t="shared" si="14"/>
        <v>185.47522559999999</v>
      </c>
      <c r="L41" s="40">
        <f t="shared" si="14"/>
        <v>438.50007040000003</v>
      </c>
      <c r="M41" s="40">
        <f t="shared" si="14"/>
        <v>623.97529599999996</v>
      </c>
      <c r="O41" s="28"/>
      <c r="P41" s="28"/>
      <c r="Q41" s="34">
        <v>1</v>
      </c>
      <c r="R41" s="35">
        <f t="shared" si="15"/>
        <v>623.97529599999996</v>
      </c>
      <c r="S41" s="28"/>
      <c r="T41" s="28"/>
      <c r="V41" s="29">
        <f t="shared" si="16"/>
        <v>1</v>
      </c>
      <c r="W41" s="8">
        <f t="shared" si="16"/>
        <v>623.97529599999996</v>
      </c>
    </row>
    <row r="42" spans="1:23" ht="30" x14ac:dyDescent="0.25">
      <c r="A42" s="6" t="s">
        <v>8</v>
      </c>
      <c r="B42" s="6" t="s">
        <v>56</v>
      </c>
      <c r="C42" s="19" t="s">
        <v>136</v>
      </c>
      <c r="D42" s="13" t="s">
        <v>57</v>
      </c>
      <c r="E42" s="14">
        <v>6.3</v>
      </c>
      <c r="F42" s="6" t="s">
        <v>53</v>
      </c>
      <c r="G42" s="42">
        <f>0.2+17.41</f>
        <v>17.61</v>
      </c>
      <c r="H42" s="42">
        <v>42.44</v>
      </c>
      <c r="I42" s="38">
        <f t="shared" si="13"/>
        <v>60.05</v>
      </c>
      <c r="J42" s="39">
        <v>0.27779999999999999</v>
      </c>
      <c r="K42" s="40">
        <f t="shared" si="14"/>
        <v>141.76296540000001</v>
      </c>
      <c r="L42" s="40">
        <f t="shared" si="14"/>
        <v>341.64794159999997</v>
      </c>
      <c r="M42" s="40">
        <f t="shared" si="14"/>
        <v>483.41090700000001</v>
      </c>
      <c r="O42" s="28"/>
      <c r="P42" s="28"/>
      <c r="Q42" s="34">
        <v>1</v>
      </c>
      <c r="R42" s="35">
        <f t="shared" si="15"/>
        <v>483.41090700000001</v>
      </c>
      <c r="S42" s="28"/>
      <c r="T42" s="28"/>
      <c r="V42" s="29">
        <f t="shared" si="16"/>
        <v>1</v>
      </c>
      <c r="W42" s="8">
        <f t="shared" si="16"/>
        <v>483.41090700000001</v>
      </c>
    </row>
    <row r="43" spans="1:23" x14ac:dyDescent="0.25">
      <c r="I43" s="32" t="s">
        <v>40</v>
      </c>
      <c r="J43" s="32"/>
      <c r="K43" s="33">
        <f t="shared" ref="K43:L43" si="17">SUM(K36:K42)</f>
        <v>19555.117949759999</v>
      </c>
      <c r="L43" s="33">
        <f t="shared" si="17"/>
        <v>8954.8970235199995</v>
      </c>
      <c r="M43" s="33">
        <f>SUM(M36:M42)</f>
        <v>28510.014973280006</v>
      </c>
      <c r="P43" s="33">
        <f>SUM(P36:P42)</f>
        <v>0</v>
      </c>
      <c r="R43" s="33">
        <f>SUM(R36:R42)</f>
        <v>28510.014973280006</v>
      </c>
      <c r="T43" s="33">
        <f>SUM(T36:T42)</f>
        <v>0</v>
      </c>
    </row>
    <row r="44" spans="1:23" ht="15.75" thickBot="1" x14ac:dyDescent="0.3"/>
    <row r="45" spans="1:23" ht="15.75" thickBot="1" x14ac:dyDescent="0.3">
      <c r="A45" s="90" t="s">
        <v>58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1"/>
      <c r="O45" s="90"/>
      <c r="P45" s="90"/>
      <c r="Q45" s="90"/>
      <c r="R45" s="90"/>
      <c r="S45" s="90"/>
      <c r="T45" s="90"/>
    </row>
    <row r="46" spans="1:23" x14ac:dyDescent="0.25">
      <c r="A46" s="10" t="s">
        <v>2</v>
      </c>
      <c r="B46" s="11" t="s">
        <v>3</v>
      </c>
      <c r="C46" s="11" t="s">
        <v>4</v>
      </c>
      <c r="D46" s="12" t="s">
        <v>5</v>
      </c>
      <c r="E46" s="4" t="s">
        <v>6</v>
      </c>
      <c r="F46" s="3" t="s">
        <v>7</v>
      </c>
      <c r="G46" s="3" t="s">
        <v>33</v>
      </c>
      <c r="H46" s="3" t="s">
        <v>34</v>
      </c>
      <c r="I46" s="5" t="s">
        <v>35</v>
      </c>
      <c r="J46" s="5" t="s">
        <v>36</v>
      </c>
      <c r="K46" s="3" t="s">
        <v>37</v>
      </c>
      <c r="L46" s="3" t="s">
        <v>38</v>
      </c>
      <c r="M46" s="5" t="s">
        <v>39</v>
      </c>
    </row>
    <row r="47" spans="1:23" ht="30" x14ac:dyDescent="0.25">
      <c r="A47" s="45" t="s">
        <v>59</v>
      </c>
      <c r="B47" s="45" t="s">
        <v>60</v>
      </c>
      <c r="C47" s="46" t="s">
        <v>61</v>
      </c>
      <c r="D47" s="13" t="s">
        <v>209</v>
      </c>
      <c r="E47" s="14">
        <v>18787.330000000002</v>
      </c>
      <c r="F47" s="6" t="s">
        <v>47</v>
      </c>
      <c r="G47" s="42">
        <v>8.5519199999999991</v>
      </c>
      <c r="H47" s="42">
        <v>6.7226999999999997</v>
      </c>
      <c r="I47" s="38">
        <f t="shared" ref="I47:I51" si="18">G47+H47</f>
        <v>15.274619999999999</v>
      </c>
      <c r="J47" s="39">
        <v>0.27779999999999999</v>
      </c>
      <c r="K47" s="40">
        <f t="shared" ref="K47:M51" si="19">$E47*G47*(1+$J47)</f>
        <v>205301.24222722609</v>
      </c>
      <c r="L47" s="40">
        <f t="shared" si="19"/>
        <v>161388.16325701983</v>
      </c>
      <c r="M47" s="40">
        <f t="shared" si="19"/>
        <v>366689.40548424586</v>
      </c>
      <c r="O47" s="28"/>
      <c r="P47" s="28"/>
      <c r="Q47" s="34">
        <v>0.3</v>
      </c>
      <c r="R47" s="35">
        <f>Q47*$M47</f>
        <v>110006.82164527375</v>
      </c>
      <c r="S47" s="34">
        <v>0.7</v>
      </c>
      <c r="T47" s="35">
        <f>S47*$M47</f>
        <v>256682.58383897209</v>
      </c>
      <c r="V47" s="29">
        <f t="shared" ref="V47:W51" si="20">O47+Q47+S47</f>
        <v>1</v>
      </c>
      <c r="W47" s="8">
        <f t="shared" si="20"/>
        <v>366689.40548424586</v>
      </c>
    </row>
    <row r="48" spans="1:23" ht="30" x14ac:dyDescent="0.25">
      <c r="A48" s="6" t="s">
        <v>8</v>
      </c>
      <c r="B48" s="6" t="s">
        <v>62</v>
      </c>
      <c r="C48" s="19" t="s">
        <v>137</v>
      </c>
      <c r="D48" s="13" t="s">
        <v>63</v>
      </c>
      <c r="E48" s="14">
        <v>430</v>
      </c>
      <c r="F48" s="6" t="s">
        <v>51</v>
      </c>
      <c r="G48" s="42">
        <f>0.01+8.33</f>
        <v>8.34</v>
      </c>
      <c r="H48" s="42">
        <v>7.68</v>
      </c>
      <c r="I48" s="38">
        <f t="shared" si="18"/>
        <v>16.02</v>
      </c>
      <c r="J48" s="39">
        <v>0.27779999999999999</v>
      </c>
      <c r="K48" s="40">
        <f t="shared" si="19"/>
        <v>4582.4463599999999</v>
      </c>
      <c r="L48" s="40">
        <f t="shared" si="19"/>
        <v>4219.8067200000005</v>
      </c>
      <c r="M48" s="40">
        <f t="shared" si="19"/>
        <v>8802.2530800000004</v>
      </c>
      <c r="O48" s="28"/>
      <c r="P48" s="28"/>
      <c r="Q48" s="28"/>
      <c r="R48" s="28"/>
      <c r="S48" s="34">
        <v>1</v>
      </c>
      <c r="T48" s="35">
        <f t="shared" ref="T48:T51" si="21">S48*$M48</f>
        <v>8802.2530800000004</v>
      </c>
      <c r="V48" s="29">
        <f t="shared" si="20"/>
        <v>1</v>
      </c>
      <c r="W48" s="8">
        <f t="shared" si="20"/>
        <v>8802.2530800000004</v>
      </c>
    </row>
    <row r="49" spans="1:23" ht="30" x14ac:dyDescent="0.25">
      <c r="A49" s="6" t="s">
        <v>8</v>
      </c>
      <c r="B49" s="6" t="s">
        <v>64</v>
      </c>
      <c r="C49" s="19" t="s">
        <v>138</v>
      </c>
      <c r="D49" s="13" t="s">
        <v>65</v>
      </c>
      <c r="E49" s="14">
        <v>430</v>
      </c>
      <c r="F49" s="6" t="s">
        <v>51</v>
      </c>
      <c r="G49" s="42">
        <f>0.04+10.62</f>
        <v>10.659999999999998</v>
      </c>
      <c r="H49" s="42">
        <v>10.69</v>
      </c>
      <c r="I49" s="38">
        <f t="shared" si="18"/>
        <v>21.349999999999998</v>
      </c>
      <c r="J49" s="39">
        <v>0.27779999999999999</v>
      </c>
      <c r="K49" s="40">
        <f t="shared" si="19"/>
        <v>5857.1796399999994</v>
      </c>
      <c r="L49" s="40">
        <f t="shared" si="19"/>
        <v>5873.6632600000003</v>
      </c>
      <c r="M49" s="40">
        <f t="shared" si="19"/>
        <v>11730.842899999998</v>
      </c>
      <c r="O49" s="28"/>
      <c r="P49" s="28"/>
      <c r="Q49" s="28"/>
      <c r="R49" s="28"/>
      <c r="S49" s="34">
        <v>1</v>
      </c>
      <c r="T49" s="35">
        <f t="shared" si="21"/>
        <v>11730.842899999998</v>
      </c>
      <c r="V49" s="29">
        <f t="shared" si="20"/>
        <v>1</v>
      </c>
      <c r="W49" s="8">
        <f t="shared" si="20"/>
        <v>11730.842899999998</v>
      </c>
    </row>
    <row r="50" spans="1:23" ht="45" x14ac:dyDescent="0.25">
      <c r="A50" s="6" t="s">
        <v>8</v>
      </c>
      <c r="B50" s="6" t="s">
        <v>140</v>
      </c>
      <c r="C50" s="19" t="s">
        <v>139</v>
      </c>
      <c r="D50" s="13" t="s">
        <v>66</v>
      </c>
      <c r="E50" s="14">
        <v>40</v>
      </c>
      <c r="F50" s="6" t="s">
        <v>67</v>
      </c>
      <c r="G50" s="42">
        <v>117.13</v>
      </c>
      <c r="H50" s="42">
        <v>0</v>
      </c>
      <c r="I50" s="38">
        <f t="shared" si="18"/>
        <v>117.13</v>
      </c>
      <c r="J50" s="39">
        <v>0.27779999999999999</v>
      </c>
      <c r="K50" s="40">
        <f t="shared" si="19"/>
        <v>5986.74856</v>
      </c>
      <c r="L50" s="40">
        <f t="shared" si="19"/>
        <v>0</v>
      </c>
      <c r="M50" s="40">
        <f t="shared" si="19"/>
        <v>5986.74856</v>
      </c>
      <c r="O50" s="28"/>
      <c r="P50" s="28"/>
      <c r="Q50" s="28"/>
      <c r="R50" s="28"/>
      <c r="S50" s="34">
        <v>1</v>
      </c>
      <c r="T50" s="35">
        <f t="shared" si="21"/>
        <v>5986.74856</v>
      </c>
      <c r="V50" s="29">
        <f t="shared" si="20"/>
        <v>1</v>
      </c>
      <c r="W50" s="8">
        <f t="shared" si="20"/>
        <v>5986.74856</v>
      </c>
    </row>
    <row r="51" spans="1:23" ht="30" x14ac:dyDescent="0.25">
      <c r="A51" s="43" t="s">
        <v>8</v>
      </c>
      <c r="B51" s="43" t="s">
        <v>141</v>
      </c>
      <c r="C51" s="44" t="s">
        <v>142</v>
      </c>
      <c r="D51" s="13" t="s">
        <v>143</v>
      </c>
      <c r="E51" s="14">
        <v>40</v>
      </c>
      <c r="F51" s="6" t="s">
        <v>67</v>
      </c>
      <c r="G51" s="42">
        <v>3.76</v>
      </c>
      <c r="H51" s="42">
        <v>17.82</v>
      </c>
      <c r="I51" s="38">
        <f t="shared" si="18"/>
        <v>21.58</v>
      </c>
      <c r="J51" s="39">
        <v>0.27779999999999999</v>
      </c>
      <c r="K51" s="40">
        <f t="shared" si="19"/>
        <v>192.18111999999996</v>
      </c>
      <c r="L51" s="40">
        <f t="shared" si="19"/>
        <v>910.81583999999998</v>
      </c>
      <c r="M51" s="40">
        <f t="shared" si="19"/>
        <v>1102.9969599999999</v>
      </c>
      <c r="O51" s="28"/>
      <c r="P51" s="28"/>
      <c r="Q51" s="28"/>
      <c r="R51" s="28"/>
      <c r="S51" s="34">
        <v>1</v>
      </c>
      <c r="T51" s="35">
        <f t="shared" si="21"/>
        <v>1102.9969599999999</v>
      </c>
      <c r="V51" s="29">
        <f t="shared" si="20"/>
        <v>1</v>
      </c>
      <c r="W51" s="8">
        <f t="shared" si="20"/>
        <v>1102.9969599999999</v>
      </c>
    </row>
    <row r="52" spans="1:23" x14ac:dyDescent="0.25">
      <c r="I52" s="32" t="s">
        <v>40</v>
      </c>
      <c r="J52" s="32"/>
      <c r="K52" s="33">
        <f t="shared" ref="K52:L52" si="22">SUM(K47:K51)</f>
        <v>221919.79790722608</v>
      </c>
      <c r="L52" s="33">
        <f t="shared" si="22"/>
        <v>172392.44907701982</v>
      </c>
      <c r="M52" s="33">
        <f>SUM(M47:M51)</f>
        <v>394312.24698424584</v>
      </c>
      <c r="P52" s="33">
        <f>SUM(P47:P51)</f>
        <v>0</v>
      </c>
      <c r="R52" s="33">
        <f>SUM(R47:R51)</f>
        <v>110006.82164527375</v>
      </c>
      <c r="T52" s="33">
        <f>SUM(T47:T51)</f>
        <v>284305.42533897207</v>
      </c>
    </row>
    <row r="53" spans="1:23" ht="15.75" thickBot="1" x14ac:dyDescent="0.3"/>
    <row r="54" spans="1:23" ht="15.75" thickBot="1" x14ac:dyDescent="0.3">
      <c r="A54" s="90" t="s">
        <v>68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1"/>
      <c r="O54" s="90"/>
      <c r="P54" s="90"/>
      <c r="Q54" s="90"/>
      <c r="R54" s="90"/>
      <c r="S54" s="90"/>
      <c r="T54" s="90"/>
    </row>
    <row r="55" spans="1:23" x14ac:dyDescent="0.25">
      <c r="A55" s="10" t="s">
        <v>2</v>
      </c>
      <c r="B55" s="11" t="s">
        <v>3</v>
      </c>
      <c r="C55" s="11" t="s">
        <v>4</v>
      </c>
      <c r="D55" s="12" t="s">
        <v>5</v>
      </c>
      <c r="E55" s="4" t="s">
        <v>6</v>
      </c>
      <c r="F55" s="3" t="s">
        <v>7</v>
      </c>
      <c r="G55" s="3" t="s">
        <v>33</v>
      </c>
      <c r="H55" s="3" t="s">
        <v>34</v>
      </c>
      <c r="I55" s="5" t="s">
        <v>35</v>
      </c>
      <c r="J55" s="5" t="s">
        <v>36</v>
      </c>
      <c r="K55" s="3" t="s">
        <v>37</v>
      </c>
      <c r="L55" s="3" t="s">
        <v>38</v>
      </c>
      <c r="M55" s="5" t="s">
        <v>39</v>
      </c>
    </row>
    <row r="56" spans="1:23" ht="30" x14ac:dyDescent="0.25">
      <c r="A56" s="6" t="s">
        <v>8</v>
      </c>
      <c r="B56" s="6" t="s">
        <v>69</v>
      </c>
      <c r="C56" s="19" t="s">
        <v>144</v>
      </c>
      <c r="D56" s="13" t="s">
        <v>70</v>
      </c>
      <c r="E56" s="14">
        <v>47.76</v>
      </c>
      <c r="F56" s="6" t="s">
        <v>51</v>
      </c>
      <c r="G56" s="42">
        <f>0.04+49.19</f>
        <v>49.23</v>
      </c>
      <c r="H56" s="42">
        <v>2.38</v>
      </c>
      <c r="I56" s="38">
        <f t="shared" ref="I56:I68" si="23">G56+H56</f>
        <v>51.61</v>
      </c>
      <c r="J56" s="39">
        <v>0.27779999999999999</v>
      </c>
      <c r="K56" s="40">
        <f t="shared" ref="K56:M68" si="24">$E56*G56*(1+$J56)</f>
        <v>3004.3950494400001</v>
      </c>
      <c r="L56" s="40">
        <f t="shared" si="24"/>
        <v>145.24599264</v>
      </c>
      <c r="M56" s="40">
        <f t="shared" si="24"/>
        <v>3149.6410420799998</v>
      </c>
      <c r="O56" s="28"/>
      <c r="P56" s="28"/>
      <c r="Q56" s="28"/>
      <c r="R56" s="28"/>
      <c r="S56" s="34">
        <v>1</v>
      </c>
      <c r="T56" s="35">
        <f t="shared" ref="T56:T63" si="25">S56*$M56</f>
        <v>3149.6410420799998</v>
      </c>
      <c r="V56" s="29">
        <f t="shared" ref="V56:W68" si="26">O56+Q56+S56</f>
        <v>1</v>
      </c>
      <c r="W56" s="8">
        <f t="shared" si="26"/>
        <v>3149.6410420799998</v>
      </c>
    </row>
    <row r="57" spans="1:23" x14ac:dyDescent="0.25">
      <c r="A57" s="6" t="s">
        <v>8</v>
      </c>
      <c r="B57" s="6" t="s">
        <v>71</v>
      </c>
      <c r="C57" s="19" t="s">
        <v>145</v>
      </c>
      <c r="D57" s="13" t="s">
        <v>72</v>
      </c>
      <c r="E57" s="14">
        <v>47.76</v>
      </c>
      <c r="F57" s="6" t="s">
        <v>51</v>
      </c>
      <c r="G57" s="42">
        <v>12.72</v>
      </c>
      <c r="H57" s="42">
        <v>2.31</v>
      </c>
      <c r="I57" s="38">
        <f t="shared" si="23"/>
        <v>15.030000000000001</v>
      </c>
      <c r="J57" s="39">
        <v>0.27779999999999999</v>
      </c>
      <c r="K57" s="40">
        <f t="shared" si="24"/>
        <v>776.27270016</v>
      </c>
      <c r="L57" s="40">
        <f t="shared" si="24"/>
        <v>140.97405168</v>
      </c>
      <c r="M57" s="40">
        <f t="shared" si="24"/>
        <v>917.24675184000012</v>
      </c>
      <c r="O57" s="28"/>
      <c r="P57" s="28"/>
      <c r="Q57" s="28"/>
      <c r="R57" s="28"/>
      <c r="S57" s="34">
        <v>1</v>
      </c>
      <c r="T57" s="35">
        <f t="shared" si="25"/>
        <v>917.24675184000012</v>
      </c>
      <c r="V57" s="29">
        <f t="shared" si="26"/>
        <v>1</v>
      </c>
      <c r="W57" s="8">
        <f t="shared" si="26"/>
        <v>917.24675184000012</v>
      </c>
    </row>
    <row r="58" spans="1:23" ht="45" x14ac:dyDescent="0.25">
      <c r="A58" s="6" t="s">
        <v>8</v>
      </c>
      <c r="B58" s="6" t="s">
        <v>73</v>
      </c>
      <c r="C58" s="19" t="s">
        <v>146</v>
      </c>
      <c r="D58" s="13" t="s">
        <v>74</v>
      </c>
      <c r="E58" s="14">
        <v>47.76</v>
      </c>
      <c r="F58" s="6" t="s">
        <v>51</v>
      </c>
      <c r="G58" s="42">
        <f>0.12+45.4</f>
        <v>45.519999999999996</v>
      </c>
      <c r="H58" s="42">
        <v>5.62</v>
      </c>
      <c r="I58" s="38">
        <f t="shared" si="23"/>
        <v>51.139999999999993</v>
      </c>
      <c r="J58" s="39">
        <v>0.27779999999999999</v>
      </c>
      <c r="K58" s="40">
        <f t="shared" si="24"/>
        <v>2777.9821785599997</v>
      </c>
      <c r="L58" s="40">
        <f t="shared" si="24"/>
        <v>342.97583136000003</v>
      </c>
      <c r="M58" s="40">
        <f t="shared" si="24"/>
        <v>3120.9580099199998</v>
      </c>
      <c r="O58" s="28"/>
      <c r="P58" s="28"/>
      <c r="Q58" s="28"/>
      <c r="R58" s="28"/>
      <c r="S58" s="34">
        <v>1</v>
      </c>
      <c r="T58" s="35">
        <f t="shared" si="25"/>
        <v>3120.9580099199998</v>
      </c>
      <c r="V58" s="29">
        <f t="shared" si="26"/>
        <v>1</v>
      </c>
      <c r="W58" s="8">
        <f t="shared" si="26"/>
        <v>3120.9580099199998</v>
      </c>
    </row>
    <row r="59" spans="1:23" x14ac:dyDescent="0.25">
      <c r="A59" s="6" t="s">
        <v>8</v>
      </c>
      <c r="B59" s="6" t="s">
        <v>75</v>
      </c>
      <c r="C59" s="19" t="s">
        <v>147</v>
      </c>
      <c r="D59" s="13" t="s">
        <v>76</v>
      </c>
      <c r="E59" s="14">
        <v>76.5</v>
      </c>
      <c r="F59" s="6" t="s">
        <v>51</v>
      </c>
      <c r="G59" s="42">
        <v>4.26</v>
      </c>
      <c r="H59" s="42">
        <v>1.91</v>
      </c>
      <c r="I59" s="38">
        <f t="shared" si="23"/>
        <v>6.17</v>
      </c>
      <c r="J59" s="39">
        <v>0.27779999999999999</v>
      </c>
      <c r="K59" s="40">
        <f t="shared" si="24"/>
        <v>416.42224199999998</v>
      </c>
      <c r="L59" s="40">
        <f t="shared" si="24"/>
        <v>186.70574699999997</v>
      </c>
      <c r="M59" s="40">
        <f t="shared" si="24"/>
        <v>603.12798900000007</v>
      </c>
      <c r="O59" s="28"/>
      <c r="P59" s="28"/>
      <c r="Q59" s="28"/>
      <c r="R59" s="28"/>
      <c r="S59" s="34">
        <v>1</v>
      </c>
      <c r="T59" s="35">
        <f t="shared" si="25"/>
        <v>603.12798900000007</v>
      </c>
      <c r="V59" s="29">
        <f t="shared" si="26"/>
        <v>1</v>
      </c>
      <c r="W59" s="8">
        <f t="shared" si="26"/>
        <v>603.12798900000007</v>
      </c>
    </row>
    <row r="60" spans="1:23" ht="30" x14ac:dyDescent="0.25">
      <c r="A60" s="6" t="s">
        <v>8</v>
      </c>
      <c r="B60" s="6" t="s">
        <v>77</v>
      </c>
      <c r="C60" s="19" t="s">
        <v>167</v>
      </c>
      <c r="D60" s="13" t="s">
        <v>78</v>
      </c>
      <c r="E60" s="14">
        <v>48.5</v>
      </c>
      <c r="F60" s="6" t="s">
        <v>51</v>
      </c>
      <c r="G60" s="42">
        <f>0.24+26.08</f>
        <v>26.319999999999997</v>
      </c>
      <c r="H60" s="42">
        <v>0.4</v>
      </c>
      <c r="I60" s="38">
        <f t="shared" si="23"/>
        <v>26.719999999999995</v>
      </c>
      <c r="J60" s="39">
        <v>0.27779999999999999</v>
      </c>
      <c r="K60" s="40">
        <f t="shared" si="24"/>
        <v>1631.1372559999998</v>
      </c>
      <c r="L60" s="40">
        <f t="shared" si="24"/>
        <v>24.789320000000004</v>
      </c>
      <c r="M60" s="40">
        <f t="shared" si="24"/>
        <v>1655.9265759999998</v>
      </c>
      <c r="O60" s="28"/>
      <c r="P60" s="28"/>
      <c r="Q60" s="28"/>
      <c r="R60" s="28"/>
      <c r="S60" s="34">
        <v>1</v>
      </c>
      <c r="T60" s="35">
        <f t="shared" si="25"/>
        <v>1655.9265759999998</v>
      </c>
      <c r="V60" s="29">
        <f t="shared" si="26"/>
        <v>1</v>
      </c>
      <c r="W60" s="8">
        <f t="shared" si="26"/>
        <v>1655.9265759999998</v>
      </c>
    </row>
    <row r="61" spans="1:23" ht="30" x14ac:dyDescent="0.25">
      <c r="A61" s="78" t="s">
        <v>207</v>
      </c>
      <c r="B61" s="45" t="s">
        <v>79</v>
      </c>
      <c r="C61" s="46" t="s">
        <v>168</v>
      </c>
      <c r="D61" s="13" t="s">
        <v>80</v>
      </c>
      <c r="E61" s="27">
        <v>65</v>
      </c>
      <c r="F61" s="6" t="s">
        <v>122</v>
      </c>
      <c r="G61" s="42">
        <v>25.650400000000001</v>
      </c>
      <c r="H61" s="42">
        <v>2.9723999999999999</v>
      </c>
      <c r="I61" s="38">
        <f t="shared" si="23"/>
        <v>28.622800000000002</v>
      </c>
      <c r="J61" s="39">
        <v>0.27779999999999999</v>
      </c>
      <c r="K61" s="40">
        <f t="shared" si="24"/>
        <v>2130.4452728000001</v>
      </c>
      <c r="L61" s="40">
        <f t="shared" si="24"/>
        <v>246.87862680000001</v>
      </c>
      <c r="M61" s="40">
        <f t="shared" si="24"/>
        <v>2377.3238996000005</v>
      </c>
      <c r="O61" s="28"/>
      <c r="P61" s="28"/>
      <c r="Q61" s="28"/>
      <c r="R61" s="28"/>
      <c r="S61" s="34">
        <v>1</v>
      </c>
      <c r="T61" s="35">
        <f t="shared" si="25"/>
        <v>2377.3238996000005</v>
      </c>
      <c r="V61" s="29">
        <f t="shared" si="26"/>
        <v>1</v>
      </c>
      <c r="W61" s="8">
        <f t="shared" si="26"/>
        <v>2377.3238996000005</v>
      </c>
    </row>
    <row r="62" spans="1:23" ht="30" x14ac:dyDescent="0.25">
      <c r="A62" s="6" t="s">
        <v>8</v>
      </c>
      <c r="B62" s="6" t="s">
        <v>81</v>
      </c>
      <c r="C62" s="19" t="s">
        <v>148</v>
      </c>
      <c r="D62" s="13" t="s">
        <v>82</v>
      </c>
      <c r="E62" s="14">
        <v>5</v>
      </c>
      <c r="F62" s="6" t="s">
        <v>122</v>
      </c>
      <c r="G62" s="42">
        <f>0.01+81.42</f>
        <v>81.430000000000007</v>
      </c>
      <c r="H62" s="42">
        <v>3.64</v>
      </c>
      <c r="I62" s="38">
        <f t="shared" si="23"/>
        <v>85.070000000000007</v>
      </c>
      <c r="J62" s="39">
        <v>0.27779999999999999</v>
      </c>
      <c r="K62" s="40">
        <f t="shared" si="24"/>
        <v>520.25627000000009</v>
      </c>
      <c r="L62" s="40">
        <f t="shared" si="24"/>
        <v>23.255959999999998</v>
      </c>
      <c r="M62" s="40">
        <f t="shared" si="24"/>
        <v>543.51223000000005</v>
      </c>
      <c r="O62" s="28"/>
      <c r="P62" s="28"/>
      <c r="Q62" s="28"/>
      <c r="R62" s="28"/>
      <c r="S62" s="34">
        <v>1</v>
      </c>
      <c r="T62" s="35">
        <f t="shared" si="25"/>
        <v>543.51223000000005</v>
      </c>
      <c r="V62" s="29">
        <f t="shared" si="26"/>
        <v>1</v>
      </c>
      <c r="W62" s="8">
        <f t="shared" si="26"/>
        <v>543.51223000000005</v>
      </c>
    </row>
    <row r="63" spans="1:23" ht="30" x14ac:dyDescent="0.25">
      <c r="A63" s="6" t="s">
        <v>8</v>
      </c>
      <c r="B63" s="6" t="s">
        <v>83</v>
      </c>
      <c r="C63" s="19" t="s">
        <v>149</v>
      </c>
      <c r="D63" s="13" t="s">
        <v>84</v>
      </c>
      <c r="E63" s="14">
        <v>20</v>
      </c>
      <c r="F63" s="6" t="s">
        <v>122</v>
      </c>
      <c r="G63" s="42">
        <f>0.03+46.27</f>
        <v>46.300000000000004</v>
      </c>
      <c r="H63" s="42">
        <v>8.75</v>
      </c>
      <c r="I63" s="38">
        <f t="shared" si="23"/>
        <v>55.050000000000004</v>
      </c>
      <c r="J63" s="39">
        <v>0.27779999999999999</v>
      </c>
      <c r="K63" s="40">
        <f t="shared" si="24"/>
        <v>1183.2428000000002</v>
      </c>
      <c r="L63" s="40">
        <f t="shared" si="24"/>
        <v>223.61500000000001</v>
      </c>
      <c r="M63" s="40">
        <f t="shared" si="24"/>
        <v>1406.8578</v>
      </c>
      <c r="O63" s="28"/>
      <c r="P63" s="28"/>
      <c r="Q63" s="28"/>
      <c r="R63" s="28"/>
      <c r="S63" s="34">
        <v>1</v>
      </c>
      <c r="T63" s="35">
        <f t="shared" si="25"/>
        <v>1406.8578</v>
      </c>
      <c r="V63" s="29">
        <f t="shared" si="26"/>
        <v>1</v>
      </c>
      <c r="W63" s="8">
        <f t="shared" si="26"/>
        <v>1406.8578</v>
      </c>
    </row>
    <row r="64" spans="1:23" ht="30" x14ac:dyDescent="0.25">
      <c r="A64" s="6" t="s">
        <v>8</v>
      </c>
      <c r="B64" s="6" t="s">
        <v>85</v>
      </c>
      <c r="C64" s="19" t="s">
        <v>150</v>
      </c>
      <c r="D64" s="13" t="s">
        <v>86</v>
      </c>
      <c r="E64" s="14">
        <v>2</v>
      </c>
      <c r="F64" s="6" t="s">
        <v>122</v>
      </c>
      <c r="G64" s="42">
        <f>0.14+12.62</f>
        <v>12.76</v>
      </c>
      <c r="H64" s="42">
        <v>32.22</v>
      </c>
      <c r="I64" s="38">
        <f t="shared" si="23"/>
        <v>44.98</v>
      </c>
      <c r="J64" s="39">
        <v>0.27779999999999999</v>
      </c>
      <c r="K64" s="40">
        <f t="shared" si="24"/>
        <v>32.609456000000002</v>
      </c>
      <c r="L64" s="40">
        <f t="shared" si="24"/>
        <v>82.341431999999998</v>
      </c>
      <c r="M64" s="40">
        <f t="shared" si="24"/>
        <v>114.95088799999999</v>
      </c>
      <c r="O64" s="34">
        <v>1</v>
      </c>
      <c r="P64" s="35">
        <f t="shared" ref="P64:P65" si="27">O64*$M64</f>
        <v>114.95088799999999</v>
      </c>
      <c r="Q64" s="28"/>
      <c r="R64" s="28"/>
      <c r="S64" s="28"/>
      <c r="T64" s="28"/>
      <c r="V64" s="29">
        <f t="shared" si="26"/>
        <v>1</v>
      </c>
      <c r="W64" s="8">
        <f t="shared" si="26"/>
        <v>114.95088799999999</v>
      </c>
    </row>
    <row r="65" spans="1:23" ht="45" x14ac:dyDescent="0.25">
      <c r="A65" s="6" t="s">
        <v>8</v>
      </c>
      <c r="B65" s="6" t="s">
        <v>87</v>
      </c>
      <c r="C65" s="19" t="s">
        <v>151</v>
      </c>
      <c r="D65" s="13" t="s">
        <v>88</v>
      </c>
      <c r="E65" s="14">
        <v>2</v>
      </c>
      <c r="F65" s="6" t="s">
        <v>122</v>
      </c>
      <c r="G65" s="42">
        <f>28.41+29.4</f>
        <v>57.81</v>
      </c>
      <c r="H65" s="42">
        <v>60.04</v>
      </c>
      <c r="I65" s="38">
        <f t="shared" si="23"/>
        <v>117.85</v>
      </c>
      <c r="J65" s="39">
        <v>0.27779999999999999</v>
      </c>
      <c r="K65" s="40">
        <f t="shared" si="24"/>
        <v>147.73923600000001</v>
      </c>
      <c r="L65" s="40">
        <f t="shared" si="24"/>
        <v>153.43822399999999</v>
      </c>
      <c r="M65" s="40">
        <f t="shared" si="24"/>
        <v>301.17746</v>
      </c>
      <c r="O65" s="34">
        <v>1</v>
      </c>
      <c r="P65" s="35">
        <f t="shared" si="27"/>
        <v>301.17746</v>
      </c>
      <c r="Q65" s="28"/>
      <c r="R65" s="28"/>
      <c r="S65" s="28"/>
      <c r="T65" s="28"/>
      <c r="V65" s="29">
        <f t="shared" si="26"/>
        <v>1</v>
      </c>
      <c r="W65" s="8">
        <f t="shared" si="26"/>
        <v>301.17746</v>
      </c>
    </row>
    <row r="66" spans="1:23" x14ac:dyDescent="0.25">
      <c r="A66" s="6" t="s">
        <v>8</v>
      </c>
      <c r="B66" s="6" t="s">
        <v>89</v>
      </c>
      <c r="C66" s="19" t="s">
        <v>152</v>
      </c>
      <c r="D66" s="13" t="s">
        <v>90</v>
      </c>
      <c r="E66" s="14">
        <v>20</v>
      </c>
      <c r="F66" s="6" t="s">
        <v>122</v>
      </c>
      <c r="G66" s="42">
        <f>0.1+64.4</f>
        <v>64.5</v>
      </c>
      <c r="H66" s="42">
        <v>26.5</v>
      </c>
      <c r="I66" s="38">
        <f t="shared" si="23"/>
        <v>91</v>
      </c>
      <c r="J66" s="39">
        <v>0.27779999999999999</v>
      </c>
      <c r="K66" s="40">
        <f t="shared" si="24"/>
        <v>1648.3620000000001</v>
      </c>
      <c r="L66" s="40">
        <f t="shared" si="24"/>
        <v>677.23400000000004</v>
      </c>
      <c r="M66" s="40">
        <f t="shared" si="24"/>
        <v>2325.596</v>
      </c>
      <c r="O66" s="28"/>
      <c r="P66" s="28"/>
      <c r="Q66" s="28"/>
      <c r="R66" s="28"/>
      <c r="S66" s="34">
        <v>1</v>
      </c>
      <c r="T66" s="35">
        <f t="shared" ref="T66:T68" si="28">S66*$M66</f>
        <v>2325.596</v>
      </c>
      <c r="V66" s="29">
        <f t="shared" si="26"/>
        <v>1</v>
      </c>
      <c r="W66" s="8">
        <f t="shared" si="26"/>
        <v>2325.596</v>
      </c>
    </row>
    <row r="67" spans="1:23" ht="45" x14ac:dyDescent="0.25">
      <c r="A67" s="6" t="s">
        <v>8</v>
      </c>
      <c r="B67" s="6" t="s">
        <v>91</v>
      </c>
      <c r="C67" s="19" t="s">
        <v>153</v>
      </c>
      <c r="D67" s="13" t="s">
        <v>92</v>
      </c>
      <c r="E67" s="14">
        <v>12</v>
      </c>
      <c r="F67" s="6" t="s">
        <v>49</v>
      </c>
      <c r="G67" s="42">
        <v>36.799999999999997</v>
      </c>
      <c r="H67" s="42">
        <v>3.75</v>
      </c>
      <c r="I67" s="38">
        <f t="shared" si="23"/>
        <v>40.549999999999997</v>
      </c>
      <c r="J67" s="39">
        <v>0.27779999999999999</v>
      </c>
      <c r="K67" s="40">
        <f t="shared" si="24"/>
        <v>564.27647999999999</v>
      </c>
      <c r="L67" s="40">
        <f t="shared" si="24"/>
        <v>57.501000000000005</v>
      </c>
      <c r="M67" s="40">
        <f t="shared" si="24"/>
        <v>621.77747999999997</v>
      </c>
      <c r="O67" s="28"/>
      <c r="P67" s="28"/>
      <c r="Q67" s="28"/>
      <c r="R67" s="28"/>
      <c r="S67" s="34">
        <v>1</v>
      </c>
      <c r="T67" s="35">
        <f t="shared" si="28"/>
        <v>621.77747999999997</v>
      </c>
      <c r="V67" s="29">
        <f t="shared" si="26"/>
        <v>1</v>
      </c>
      <c r="W67" s="8">
        <f t="shared" si="26"/>
        <v>621.77747999999997</v>
      </c>
    </row>
    <row r="68" spans="1:23" ht="45" x14ac:dyDescent="0.25">
      <c r="A68" s="6" t="s">
        <v>8</v>
      </c>
      <c r="B68" s="6" t="s">
        <v>91</v>
      </c>
      <c r="C68" s="19" t="s">
        <v>154</v>
      </c>
      <c r="D68" s="13" t="s">
        <v>93</v>
      </c>
      <c r="E68" s="14">
        <v>20</v>
      </c>
      <c r="F68" s="6" t="s">
        <v>49</v>
      </c>
      <c r="G68" s="42">
        <f>0.88+11.28</f>
        <v>12.16</v>
      </c>
      <c r="H68" s="42">
        <v>9.59</v>
      </c>
      <c r="I68" s="38">
        <f t="shared" si="23"/>
        <v>21.75</v>
      </c>
      <c r="J68" s="39">
        <v>0.27779999999999999</v>
      </c>
      <c r="K68" s="40">
        <f t="shared" si="24"/>
        <v>310.76096000000001</v>
      </c>
      <c r="L68" s="40">
        <f t="shared" si="24"/>
        <v>245.08204000000003</v>
      </c>
      <c r="M68" s="40">
        <f t="shared" si="24"/>
        <v>555.84300000000007</v>
      </c>
      <c r="O68" s="28"/>
      <c r="P68" s="28"/>
      <c r="Q68" s="28"/>
      <c r="R68" s="28"/>
      <c r="S68" s="34">
        <v>1</v>
      </c>
      <c r="T68" s="35">
        <f t="shared" si="28"/>
        <v>555.84300000000007</v>
      </c>
      <c r="V68" s="29">
        <f t="shared" si="26"/>
        <v>1</v>
      </c>
      <c r="W68" s="8">
        <f t="shared" si="26"/>
        <v>555.84300000000007</v>
      </c>
    </row>
    <row r="69" spans="1:23" x14ac:dyDescent="0.25">
      <c r="I69" s="32" t="s">
        <v>40</v>
      </c>
      <c r="J69" s="32"/>
      <c r="K69" s="33">
        <f t="shared" ref="K69:L69" si="29">SUM(K56:K68)</f>
        <v>15143.901900959998</v>
      </c>
      <c r="L69" s="33">
        <f t="shared" si="29"/>
        <v>2550.0372254800004</v>
      </c>
      <c r="M69" s="33">
        <f>SUM(M56:M68)</f>
        <v>17693.939126440004</v>
      </c>
      <c r="P69" s="33">
        <f>SUM(P56:P68)</f>
        <v>416.12834799999996</v>
      </c>
      <c r="R69" s="33">
        <f>SUM(R56:R68)</f>
        <v>0</v>
      </c>
      <c r="T69" s="33">
        <f>SUM(T56:T68)</f>
        <v>17277.810778440002</v>
      </c>
    </row>
    <row r="70" spans="1:23" ht="15.75" thickBot="1" x14ac:dyDescent="0.3"/>
    <row r="71" spans="1:23" ht="15.75" thickBot="1" x14ac:dyDescent="0.3">
      <c r="A71" s="95" t="s">
        <v>94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7"/>
    </row>
    <row r="72" spans="1:23" x14ac:dyDescent="0.25">
      <c r="A72" s="90" t="s">
        <v>95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1"/>
      <c r="O72" s="90"/>
      <c r="P72" s="90"/>
      <c r="Q72" s="90"/>
      <c r="R72" s="90"/>
      <c r="S72" s="90"/>
      <c r="T72" s="90"/>
    </row>
    <row r="73" spans="1:23" x14ac:dyDescent="0.25">
      <c r="A73" s="2" t="s">
        <v>2</v>
      </c>
      <c r="B73" s="3" t="s">
        <v>3</v>
      </c>
      <c r="C73" s="3" t="s">
        <v>4</v>
      </c>
      <c r="D73" s="3" t="s">
        <v>5</v>
      </c>
      <c r="E73" s="4" t="s">
        <v>6</v>
      </c>
      <c r="F73" s="3" t="s">
        <v>7</v>
      </c>
      <c r="G73" s="3" t="s">
        <v>33</v>
      </c>
      <c r="H73" s="3" t="s">
        <v>34</v>
      </c>
      <c r="I73" s="5" t="s">
        <v>35</v>
      </c>
      <c r="J73" s="5" t="s">
        <v>36</v>
      </c>
      <c r="K73" s="3" t="s">
        <v>37</v>
      </c>
      <c r="L73" s="3" t="s">
        <v>38</v>
      </c>
      <c r="M73" s="5" t="s">
        <v>39</v>
      </c>
    </row>
    <row r="74" spans="1:23" x14ac:dyDescent="0.25">
      <c r="A74" s="15" t="s">
        <v>16</v>
      </c>
      <c r="B74" s="15" t="s">
        <v>9</v>
      </c>
      <c r="C74" s="15" t="s">
        <v>17</v>
      </c>
      <c r="D74" s="16" t="s">
        <v>18</v>
      </c>
      <c r="E74" s="14">
        <v>1</v>
      </c>
      <c r="F74" s="7" t="s">
        <v>122</v>
      </c>
      <c r="G74" s="42">
        <v>218.54</v>
      </c>
      <c r="H74" s="42">
        <v>0</v>
      </c>
      <c r="I74" s="38">
        <f t="shared" ref="I74:I76" si="30">G74+H74</f>
        <v>218.54</v>
      </c>
      <c r="J74" s="39">
        <v>0.27779999999999999</v>
      </c>
      <c r="K74" s="40">
        <f t="shared" ref="K74:M76" si="31">$E74*G74*(1+$J74)</f>
        <v>279.25041199999998</v>
      </c>
      <c r="L74" s="40">
        <f t="shared" si="31"/>
        <v>0</v>
      </c>
      <c r="M74" s="40">
        <f t="shared" si="31"/>
        <v>279.25041199999998</v>
      </c>
      <c r="O74" s="34">
        <v>1</v>
      </c>
      <c r="P74" s="35">
        <f t="shared" ref="P74:P76" si="32">O74*$M74</f>
        <v>279.25041199999998</v>
      </c>
      <c r="Q74" s="28"/>
      <c r="R74" s="28"/>
      <c r="S74" s="28"/>
      <c r="T74" s="28"/>
      <c r="V74" s="29">
        <f t="shared" ref="V74:W76" si="33">O74+Q74+S74</f>
        <v>1</v>
      </c>
      <c r="W74" s="8">
        <f t="shared" si="33"/>
        <v>279.25041199999998</v>
      </c>
    </row>
    <row r="75" spans="1:23" ht="30" x14ac:dyDescent="0.25">
      <c r="A75" s="6" t="s">
        <v>8</v>
      </c>
      <c r="B75" s="18" t="s">
        <v>10</v>
      </c>
      <c r="C75" s="15" t="s">
        <v>120</v>
      </c>
      <c r="D75" s="16" t="s">
        <v>20</v>
      </c>
      <c r="E75" s="14">
        <v>20</v>
      </c>
      <c r="F75" s="7" t="s">
        <v>67</v>
      </c>
      <c r="G75" s="42">
        <v>0.4</v>
      </c>
      <c r="H75" s="42">
        <v>70.260000000000005</v>
      </c>
      <c r="I75" s="38">
        <f t="shared" si="30"/>
        <v>70.660000000000011</v>
      </c>
      <c r="J75" s="39">
        <v>0.27779999999999999</v>
      </c>
      <c r="K75" s="40">
        <f t="shared" si="31"/>
        <v>10.2224</v>
      </c>
      <c r="L75" s="40">
        <f t="shared" si="31"/>
        <v>1795.56456</v>
      </c>
      <c r="M75" s="40">
        <f t="shared" si="31"/>
        <v>1805.7869600000004</v>
      </c>
      <c r="O75" s="34">
        <v>0.8</v>
      </c>
      <c r="P75" s="35">
        <f t="shared" si="32"/>
        <v>1444.6295680000003</v>
      </c>
      <c r="Q75" s="28"/>
      <c r="R75" s="28"/>
      <c r="S75" s="34">
        <v>0.2</v>
      </c>
      <c r="T75" s="35">
        <f t="shared" ref="T75:T76" si="34">S75*$M75</f>
        <v>361.15739200000007</v>
      </c>
      <c r="V75" s="29">
        <f t="shared" si="33"/>
        <v>1</v>
      </c>
      <c r="W75" s="8">
        <f t="shared" si="33"/>
        <v>1805.7869600000004</v>
      </c>
    </row>
    <row r="76" spans="1:23" ht="30" x14ac:dyDescent="0.25">
      <c r="A76" s="6" t="s">
        <v>8</v>
      </c>
      <c r="B76" s="18" t="s">
        <v>11</v>
      </c>
      <c r="C76" s="15" t="s">
        <v>121</v>
      </c>
      <c r="D76" s="16" t="s">
        <v>21</v>
      </c>
      <c r="E76" s="14">
        <v>40</v>
      </c>
      <c r="F76" s="7" t="s">
        <v>67</v>
      </c>
      <c r="G76" s="42">
        <v>2.99</v>
      </c>
      <c r="H76" s="42">
        <v>19.010000000000002</v>
      </c>
      <c r="I76" s="38">
        <f t="shared" si="30"/>
        <v>22</v>
      </c>
      <c r="J76" s="39">
        <v>0.27779999999999999</v>
      </c>
      <c r="K76" s="40">
        <f t="shared" si="31"/>
        <v>152.82488000000001</v>
      </c>
      <c r="L76" s="40">
        <f t="shared" si="31"/>
        <v>971.63912000000016</v>
      </c>
      <c r="M76" s="40">
        <f t="shared" si="31"/>
        <v>1124.4639999999999</v>
      </c>
      <c r="O76" s="34">
        <v>0.8</v>
      </c>
      <c r="P76" s="35">
        <f t="shared" si="32"/>
        <v>899.57119999999998</v>
      </c>
      <c r="Q76" s="28"/>
      <c r="R76" s="28"/>
      <c r="S76" s="34">
        <v>0.2</v>
      </c>
      <c r="T76" s="35">
        <f t="shared" si="34"/>
        <v>224.89279999999999</v>
      </c>
      <c r="V76" s="29">
        <f t="shared" si="33"/>
        <v>1</v>
      </c>
      <c r="W76" s="8">
        <f t="shared" si="33"/>
        <v>1124.4639999999999</v>
      </c>
    </row>
    <row r="77" spans="1:23" x14ac:dyDescent="0.25">
      <c r="A77" s="20"/>
      <c r="B77" s="21"/>
      <c r="C77" s="37"/>
      <c r="D77" s="22"/>
      <c r="E77" s="23"/>
      <c r="F77" s="24"/>
      <c r="G77" s="24"/>
      <c r="H77" s="24"/>
      <c r="I77" s="32" t="s">
        <v>40</v>
      </c>
      <c r="J77" s="32"/>
      <c r="K77" s="33">
        <f t="shared" ref="K77:L77" si="35">SUM(K74:K76)</f>
        <v>442.29769199999998</v>
      </c>
      <c r="L77" s="33">
        <f t="shared" si="35"/>
        <v>2767.2036800000001</v>
      </c>
      <c r="M77" s="33">
        <f>SUM(M74:M76)</f>
        <v>3209.5013720000002</v>
      </c>
      <c r="P77" s="33">
        <f>SUM(P74:P76)</f>
        <v>2623.45118</v>
      </c>
      <c r="R77" s="33">
        <f>SUM(R74:R76)</f>
        <v>0</v>
      </c>
      <c r="T77" s="33">
        <f>SUM(T74:T76)</f>
        <v>586.05019200000004</v>
      </c>
    </row>
    <row r="78" spans="1:23" ht="15.75" thickBot="1" x14ac:dyDescent="0.3"/>
    <row r="79" spans="1:23" ht="15.75" thickBot="1" x14ac:dyDescent="0.3">
      <c r="A79" s="95" t="s">
        <v>96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7"/>
    </row>
    <row r="80" spans="1:23" ht="15.75" thickBot="1" x14ac:dyDescent="0.3">
      <c r="A80" s="90" t="s">
        <v>97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1"/>
      <c r="O80" s="90"/>
      <c r="P80" s="90"/>
      <c r="Q80" s="90"/>
      <c r="R80" s="90"/>
      <c r="S80" s="90"/>
      <c r="T80" s="90"/>
    </row>
    <row r="81" spans="1:23" x14ac:dyDescent="0.25">
      <c r="A81" s="10" t="s">
        <v>2</v>
      </c>
      <c r="B81" s="11" t="s">
        <v>3</v>
      </c>
      <c r="C81" s="11" t="s">
        <v>4</v>
      </c>
      <c r="D81" s="12" t="s">
        <v>5</v>
      </c>
      <c r="E81" s="4" t="s">
        <v>6</v>
      </c>
      <c r="F81" s="3" t="s">
        <v>7</v>
      </c>
      <c r="G81" s="3" t="s">
        <v>33</v>
      </c>
      <c r="H81" s="3" t="s">
        <v>34</v>
      </c>
      <c r="I81" s="5" t="s">
        <v>35</v>
      </c>
      <c r="J81" s="5" t="s">
        <v>36</v>
      </c>
      <c r="K81" s="3" t="s">
        <v>37</v>
      </c>
      <c r="L81" s="3" t="s">
        <v>38</v>
      </c>
      <c r="M81" s="5" t="s">
        <v>39</v>
      </c>
    </row>
    <row r="82" spans="1:23" x14ac:dyDescent="0.25">
      <c r="A82" s="6" t="s">
        <v>8</v>
      </c>
      <c r="B82" s="6" t="s">
        <v>9</v>
      </c>
      <c r="C82" s="19" t="s">
        <v>155</v>
      </c>
      <c r="D82" s="13" t="s">
        <v>98</v>
      </c>
      <c r="E82" s="14">
        <v>20</v>
      </c>
      <c r="F82" s="6" t="s">
        <v>122</v>
      </c>
      <c r="G82" s="42">
        <v>19.11</v>
      </c>
      <c r="H82" s="42">
        <v>4.5199999999999996</v>
      </c>
      <c r="I82" s="38">
        <f t="shared" ref="I82:I95" si="36">G82+H82</f>
        <v>23.63</v>
      </c>
      <c r="J82" s="39">
        <v>0.27779999999999999</v>
      </c>
      <c r="K82" s="40">
        <f t="shared" ref="K82:M95" si="37">$E82*G82*(1+$J82)</f>
        <v>488.37515999999999</v>
      </c>
      <c r="L82" s="40">
        <f t="shared" si="37"/>
        <v>115.51311999999999</v>
      </c>
      <c r="M82" s="40">
        <f t="shared" si="37"/>
        <v>603.88828000000001</v>
      </c>
      <c r="O82" s="34">
        <v>1</v>
      </c>
      <c r="P82" s="35">
        <f t="shared" ref="P82:P90" si="38">O82*$M82</f>
        <v>603.88828000000001</v>
      </c>
      <c r="Q82" s="28"/>
      <c r="R82" s="28"/>
      <c r="S82" s="28"/>
      <c r="T82" s="28"/>
      <c r="V82" s="29">
        <f t="shared" ref="V82:W95" si="39">O82+Q82+S82</f>
        <v>1</v>
      </c>
      <c r="W82" s="8">
        <f t="shared" si="39"/>
        <v>603.88828000000001</v>
      </c>
    </row>
    <row r="83" spans="1:23" x14ac:dyDescent="0.25">
      <c r="A83" s="6" t="s">
        <v>8</v>
      </c>
      <c r="B83" s="6" t="s">
        <v>10</v>
      </c>
      <c r="C83" s="19" t="s">
        <v>156</v>
      </c>
      <c r="D83" s="13" t="s">
        <v>100</v>
      </c>
      <c r="E83" s="14">
        <v>100</v>
      </c>
      <c r="F83" s="6" t="s">
        <v>122</v>
      </c>
      <c r="G83" s="42">
        <v>26.78</v>
      </c>
      <c r="H83" s="42">
        <v>6.65</v>
      </c>
      <c r="I83" s="38">
        <f t="shared" si="36"/>
        <v>33.43</v>
      </c>
      <c r="J83" s="39">
        <v>0.27779999999999999</v>
      </c>
      <c r="K83" s="40">
        <f t="shared" si="37"/>
        <v>3421.9484000000002</v>
      </c>
      <c r="L83" s="40">
        <f t="shared" si="37"/>
        <v>849.73700000000008</v>
      </c>
      <c r="M83" s="40">
        <f t="shared" si="37"/>
        <v>4271.6854000000003</v>
      </c>
      <c r="O83" s="34">
        <v>1</v>
      </c>
      <c r="P83" s="35">
        <f t="shared" si="38"/>
        <v>4271.6854000000003</v>
      </c>
      <c r="Q83" s="28"/>
      <c r="R83" s="28"/>
      <c r="S83" s="28"/>
      <c r="T83" s="28"/>
      <c r="V83" s="29">
        <f t="shared" si="39"/>
        <v>1</v>
      </c>
      <c r="W83" s="8">
        <f t="shared" si="39"/>
        <v>4271.6854000000003</v>
      </c>
    </row>
    <row r="84" spans="1:23" ht="30" x14ac:dyDescent="0.25">
      <c r="A84" s="6" t="s">
        <v>8</v>
      </c>
      <c r="B84" s="6" t="s">
        <v>11</v>
      </c>
      <c r="C84" s="19" t="s">
        <v>157</v>
      </c>
      <c r="D84" s="13" t="s">
        <v>101</v>
      </c>
      <c r="E84" s="14">
        <v>1</v>
      </c>
      <c r="F84" s="6" t="s">
        <v>122</v>
      </c>
      <c r="G84" s="42">
        <f>0.02+8.86</f>
        <v>8.879999999999999</v>
      </c>
      <c r="H84" s="42">
        <v>8.67</v>
      </c>
      <c r="I84" s="38">
        <f t="shared" si="36"/>
        <v>17.549999999999997</v>
      </c>
      <c r="J84" s="39">
        <v>0.27779999999999999</v>
      </c>
      <c r="K84" s="40">
        <f t="shared" si="37"/>
        <v>11.346863999999998</v>
      </c>
      <c r="L84" s="40">
        <f t="shared" si="37"/>
        <v>11.078526</v>
      </c>
      <c r="M84" s="40">
        <f t="shared" si="37"/>
        <v>22.425389999999997</v>
      </c>
      <c r="O84" s="34">
        <v>1</v>
      </c>
      <c r="P84" s="35">
        <f t="shared" si="38"/>
        <v>22.425389999999997</v>
      </c>
      <c r="Q84" s="28"/>
      <c r="R84" s="28"/>
      <c r="S84" s="28"/>
      <c r="T84" s="28"/>
      <c r="V84" s="29">
        <f t="shared" si="39"/>
        <v>1</v>
      </c>
      <c r="W84" s="8">
        <f t="shared" si="39"/>
        <v>22.425389999999997</v>
      </c>
    </row>
    <row r="85" spans="1:23" ht="30" x14ac:dyDescent="0.25">
      <c r="A85" s="6" t="s">
        <v>8</v>
      </c>
      <c r="B85" s="6" t="s">
        <v>12</v>
      </c>
      <c r="C85" s="19" t="s">
        <v>158</v>
      </c>
      <c r="D85" s="13" t="s">
        <v>102</v>
      </c>
      <c r="E85" s="14">
        <v>8</v>
      </c>
      <c r="F85" s="6" t="s">
        <v>122</v>
      </c>
      <c r="G85" s="42">
        <v>6.54</v>
      </c>
      <c r="H85" s="42">
        <v>6.5</v>
      </c>
      <c r="I85" s="38">
        <f t="shared" si="36"/>
        <v>13.04</v>
      </c>
      <c r="J85" s="39">
        <v>0.27779999999999999</v>
      </c>
      <c r="K85" s="40">
        <f t="shared" si="37"/>
        <v>66.854495999999997</v>
      </c>
      <c r="L85" s="40">
        <f t="shared" si="37"/>
        <v>66.445599999999999</v>
      </c>
      <c r="M85" s="40">
        <f t="shared" si="37"/>
        <v>133.300096</v>
      </c>
      <c r="O85" s="34">
        <v>1</v>
      </c>
      <c r="P85" s="35">
        <f t="shared" si="38"/>
        <v>133.300096</v>
      </c>
      <c r="Q85" s="28"/>
      <c r="R85" s="28"/>
      <c r="S85" s="28"/>
      <c r="T85" s="28"/>
      <c r="V85" s="29">
        <f t="shared" si="39"/>
        <v>1</v>
      </c>
      <c r="W85" s="8">
        <f t="shared" si="39"/>
        <v>133.300096</v>
      </c>
    </row>
    <row r="86" spans="1:23" ht="30" x14ac:dyDescent="0.25">
      <c r="A86" s="6" t="s">
        <v>8</v>
      </c>
      <c r="B86" s="6" t="s">
        <v>13</v>
      </c>
      <c r="C86" s="19" t="s">
        <v>159</v>
      </c>
      <c r="D86" s="13" t="s">
        <v>103</v>
      </c>
      <c r="E86" s="14">
        <v>6</v>
      </c>
      <c r="F86" s="6" t="s">
        <v>122</v>
      </c>
      <c r="G86" s="42">
        <v>5.65</v>
      </c>
      <c r="H86" s="42">
        <v>6.52</v>
      </c>
      <c r="I86" s="38">
        <f t="shared" si="36"/>
        <v>12.17</v>
      </c>
      <c r="J86" s="39">
        <v>0.27779999999999999</v>
      </c>
      <c r="K86" s="40">
        <f t="shared" si="37"/>
        <v>43.317420000000006</v>
      </c>
      <c r="L86" s="40">
        <f t="shared" si="37"/>
        <v>49.987535999999999</v>
      </c>
      <c r="M86" s="40">
        <f t="shared" si="37"/>
        <v>93.304956000000004</v>
      </c>
      <c r="O86" s="34">
        <v>1</v>
      </c>
      <c r="P86" s="35">
        <f t="shared" si="38"/>
        <v>93.304956000000004</v>
      </c>
      <c r="Q86" s="28"/>
      <c r="R86" s="28"/>
      <c r="S86" s="28"/>
      <c r="T86" s="28"/>
      <c r="V86" s="29">
        <f t="shared" si="39"/>
        <v>1</v>
      </c>
      <c r="W86" s="8">
        <f t="shared" si="39"/>
        <v>93.304956000000004</v>
      </c>
    </row>
    <row r="87" spans="1:23" ht="30" x14ac:dyDescent="0.25">
      <c r="A87" s="6" t="s">
        <v>8</v>
      </c>
      <c r="B87" s="6" t="s">
        <v>54</v>
      </c>
      <c r="C87" s="19" t="s">
        <v>160</v>
      </c>
      <c r="D87" s="13" t="s">
        <v>161</v>
      </c>
      <c r="E87" s="14">
        <v>20</v>
      </c>
      <c r="F87" s="6" t="s">
        <v>49</v>
      </c>
      <c r="G87" s="42">
        <v>7.65</v>
      </c>
      <c r="H87" s="42">
        <v>4.34</v>
      </c>
      <c r="I87" s="38">
        <f t="shared" si="36"/>
        <v>11.99</v>
      </c>
      <c r="J87" s="39">
        <v>0.27779999999999999</v>
      </c>
      <c r="K87" s="40">
        <f t="shared" si="37"/>
        <v>195.5034</v>
      </c>
      <c r="L87" s="40">
        <f t="shared" si="37"/>
        <v>110.91304</v>
      </c>
      <c r="M87" s="40">
        <f t="shared" si="37"/>
        <v>306.41644000000002</v>
      </c>
      <c r="O87" s="34">
        <v>1</v>
      </c>
      <c r="P87" s="35">
        <f t="shared" si="38"/>
        <v>306.41644000000002</v>
      </c>
      <c r="Q87" s="28"/>
      <c r="R87" s="28"/>
      <c r="S87" s="28"/>
      <c r="T87" s="28"/>
      <c r="V87" s="29">
        <f t="shared" si="39"/>
        <v>1</v>
      </c>
      <c r="W87" s="8">
        <f t="shared" si="39"/>
        <v>306.41644000000002</v>
      </c>
    </row>
    <row r="88" spans="1:23" ht="30" x14ac:dyDescent="0.25">
      <c r="A88" s="6" t="s">
        <v>8</v>
      </c>
      <c r="B88" s="6" t="s">
        <v>56</v>
      </c>
      <c r="C88" s="19" t="s">
        <v>162</v>
      </c>
      <c r="D88" s="13" t="s">
        <v>104</v>
      </c>
      <c r="E88" s="14">
        <v>0.1</v>
      </c>
      <c r="F88" s="6" t="s">
        <v>206</v>
      </c>
      <c r="G88" s="42">
        <v>24.67</v>
      </c>
      <c r="H88" s="42">
        <v>0</v>
      </c>
      <c r="I88" s="38">
        <f t="shared" si="36"/>
        <v>24.67</v>
      </c>
      <c r="J88" s="39">
        <v>0.27779999999999999</v>
      </c>
      <c r="K88" s="40">
        <f t="shared" si="37"/>
        <v>3.1523326000000007</v>
      </c>
      <c r="L88" s="40">
        <f t="shared" si="37"/>
        <v>0</v>
      </c>
      <c r="M88" s="40">
        <f t="shared" si="37"/>
        <v>3.1523326000000007</v>
      </c>
      <c r="O88" s="34">
        <v>1</v>
      </c>
      <c r="P88" s="35">
        <f t="shared" si="38"/>
        <v>3.1523326000000007</v>
      </c>
      <c r="Q88" s="28"/>
      <c r="R88" s="28"/>
      <c r="S88" s="28"/>
      <c r="T88" s="28"/>
      <c r="V88" s="29">
        <f t="shared" si="39"/>
        <v>1</v>
      </c>
      <c r="W88" s="8">
        <f t="shared" si="39"/>
        <v>3.1523326000000007</v>
      </c>
    </row>
    <row r="89" spans="1:23" ht="30" x14ac:dyDescent="0.25">
      <c r="A89" s="6" t="s">
        <v>8</v>
      </c>
      <c r="B89" s="6" t="s">
        <v>105</v>
      </c>
      <c r="C89" s="19" t="s">
        <v>163</v>
      </c>
      <c r="D89" s="13" t="s">
        <v>106</v>
      </c>
      <c r="E89" s="14">
        <v>9</v>
      </c>
      <c r="F89" s="6" t="s">
        <v>53</v>
      </c>
      <c r="G89" s="42">
        <f>0.18+16.24</f>
        <v>16.419999999999998</v>
      </c>
      <c r="H89" s="42">
        <v>36.15</v>
      </c>
      <c r="I89" s="38">
        <f t="shared" si="36"/>
        <v>52.569999999999993</v>
      </c>
      <c r="J89" s="39">
        <v>0.27779999999999999</v>
      </c>
      <c r="K89" s="40">
        <f t="shared" si="37"/>
        <v>188.83328399999996</v>
      </c>
      <c r="L89" s="40">
        <f t="shared" si="37"/>
        <v>415.73222999999996</v>
      </c>
      <c r="M89" s="40">
        <f t="shared" si="37"/>
        <v>604.56551399999989</v>
      </c>
      <c r="O89" s="34">
        <v>1</v>
      </c>
      <c r="P89" s="35">
        <f t="shared" si="38"/>
        <v>604.56551399999989</v>
      </c>
      <c r="Q89" s="28"/>
      <c r="R89" s="28"/>
      <c r="S89" s="28"/>
      <c r="T89" s="28"/>
      <c r="V89" s="29">
        <f t="shared" si="39"/>
        <v>1</v>
      </c>
      <c r="W89" s="8">
        <f t="shared" si="39"/>
        <v>604.56551399999989</v>
      </c>
    </row>
    <row r="90" spans="1:23" x14ac:dyDescent="0.25">
      <c r="A90" s="6" t="s">
        <v>8</v>
      </c>
      <c r="B90" s="6" t="s">
        <v>107</v>
      </c>
      <c r="C90" s="19" t="s">
        <v>164</v>
      </c>
      <c r="D90" s="13" t="s">
        <v>108</v>
      </c>
      <c r="E90" s="14">
        <v>9</v>
      </c>
      <c r="F90" s="6" t="s">
        <v>53</v>
      </c>
      <c r="G90" s="42">
        <f>0.11+9.82</f>
        <v>9.93</v>
      </c>
      <c r="H90" s="42">
        <v>21.94</v>
      </c>
      <c r="I90" s="38">
        <f t="shared" si="36"/>
        <v>31.87</v>
      </c>
      <c r="J90" s="39">
        <v>0.27779999999999999</v>
      </c>
      <c r="K90" s="40">
        <f t="shared" si="37"/>
        <v>114.19698600000001</v>
      </c>
      <c r="L90" s="40">
        <f t="shared" si="37"/>
        <v>252.31438800000001</v>
      </c>
      <c r="M90" s="40">
        <f t="shared" si="37"/>
        <v>366.51137399999999</v>
      </c>
      <c r="O90" s="34">
        <v>1</v>
      </c>
      <c r="P90" s="35">
        <f t="shared" si="38"/>
        <v>366.51137399999999</v>
      </c>
      <c r="Q90" s="28"/>
      <c r="R90" s="28"/>
      <c r="S90" s="28"/>
      <c r="T90" s="28"/>
      <c r="V90" s="29">
        <f t="shared" si="39"/>
        <v>1</v>
      </c>
      <c r="W90" s="8">
        <f t="shared" si="39"/>
        <v>366.51137399999999</v>
      </c>
    </row>
    <row r="91" spans="1:23" x14ac:dyDescent="0.25">
      <c r="A91" s="45" t="s">
        <v>109</v>
      </c>
      <c r="B91" s="45" t="s">
        <v>110</v>
      </c>
      <c r="C91" s="46" t="s">
        <v>17</v>
      </c>
      <c r="D91" s="13" t="s">
        <v>111</v>
      </c>
      <c r="E91" s="14">
        <v>1</v>
      </c>
      <c r="F91" s="6" t="s">
        <v>122</v>
      </c>
      <c r="G91" s="42">
        <v>134.75</v>
      </c>
      <c r="H91" s="42">
        <v>0</v>
      </c>
      <c r="I91" s="38">
        <f t="shared" si="36"/>
        <v>134.75</v>
      </c>
      <c r="J91" s="39">
        <v>0.27779999999999999</v>
      </c>
      <c r="K91" s="40">
        <f t="shared" si="37"/>
        <v>172.18355</v>
      </c>
      <c r="L91" s="40">
        <f t="shared" si="37"/>
        <v>0</v>
      </c>
      <c r="M91" s="40">
        <f t="shared" si="37"/>
        <v>172.18355</v>
      </c>
      <c r="O91" s="28"/>
      <c r="P91" s="28"/>
      <c r="Q91" s="28"/>
      <c r="R91" s="28"/>
      <c r="S91" s="34">
        <v>1</v>
      </c>
      <c r="T91" s="35">
        <f t="shared" ref="T91:T95" si="40">S91*$M91</f>
        <v>172.18355</v>
      </c>
      <c r="V91" s="29">
        <f t="shared" si="39"/>
        <v>1</v>
      </c>
      <c r="W91" s="8">
        <f t="shared" si="39"/>
        <v>172.18355</v>
      </c>
    </row>
    <row r="92" spans="1:23" x14ac:dyDescent="0.25">
      <c r="A92" s="45" t="s">
        <v>109</v>
      </c>
      <c r="B92" s="45" t="s">
        <v>112</v>
      </c>
      <c r="C92" s="46" t="s">
        <v>17</v>
      </c>
      <c r="D92" s="13" t="s">
        <v>113</v>
      </c>
      <c r="E92" s="14">
        <v>1</v>
      </c>
      <c r="F92" s="6" t="s">
        <v>49</v>
      </c>
      <c r="G92" s="42">
        <v>71.19</v>
      </c>
      <c r="H92" s="42">
        <v>0</v>
      </c>
      <c r="I92" s="38">
        <f t="shared" si="36"/>
        <v>71.19</v>
      </c>
      <c r="J92" s="39">
        <v>0.27779999999999999</v>
      </c>
      <c r="K92" s="40">
        <f t="shared" si="37"/>
        <v>90.966582000000002</v>
      </c>
      <c r="L92" s="40">
        <f t="shared" si="37"/>
        <v>0</v>
      </c>
      <c r="M92" s="40">
        <f t="shared" si="37"/>
        <v>90.966582000000002</v>
      </c>
      <c r="O92" s="28"/>
      <c r="P92" s="28"/>
      <c r="Q92" s="28"/>
      <c r="R92" s="28"/>
      <c r="S92" s="34">
        <v>1</v>
      </c>
      <c r="T92" s="35">
        <f t="shared" si="40"/>
        <v>90.966582000000002</v>
      </c>
      <c r="V92" s="29">
        <f t="shared" si="39"/>
        <v>1</v>
      </c>
      <c r="W92" s="8">
        <f t="shared" si="39"/>
        <v>90.966582000000002</v>
      </c>
    </row>
    <row r="93" spans="1:23" ht="30" x14ac:dyDescent="0.25">
      <c r="A93" s="45" t="s">
        <v>109</v>
      </c>
      <c r="B93" s="45" t="s">
        <v>114</v>
      </c>
      <c r="C93" s="46" t="s">
        <v>17</v>
      </c>
      <c r="D93" s="13" t="s">
        <v>115</v>
      </c>
      <c r="E93" s="14">
        <v>10</v>
      </c>
      <c r="F93" s="6" t="s">
        <v>122</v>
      </c>
      <c r="G93" s="42">
        <v>7.15</v>
      </c>
      <c r="H93" s="42">
        <v>0</v>
      </c>
      <c r="I93" s="38">
        <f t="shared" si="36"/>
        <v>7.15</v>
      </c>
      <c r="J93" s="39">
        <v>0.27779999999999999</v>
      </c>
      <c r="K93" s="40">
        <f t="shared" si="37"/>
        <v>91.362700000000004</v>
      </c>
      <c r="L93" s="40">
        <f t="shared" si="37"/>
        <v>0</v>
      </c>
      <c r="M93" s="40">
        <f t="shared" si="37"/>
        <v>91.362700000000004</v>
      </c>
      <c r="O93" s="28"/>
      <c r="P93" s="28"/>
      <c r="Q93" s="28"/>
      <c r="R93" s="28"/>
      <c r="S93" s="34">
        <v>1</v>
      </c>
      <c r="T93" s="35">
        <f t="shared" si="40"/>
        <v>91.362700000000004</v>
      </c>
      <c r="V93" s="29">
        <f t="shared" si="39"/>
        <v>1</v>
      </c>
      <c r="W93" s="8">
        <f t="shared" si="39"/>
        <v>91.362700000000004</v>
      </c>
    </row>
    <row r="94" spans="1:23" ht="30" x14ac:dyDescent="0.25">
      <c r="A94" s="6" t="s">
        <v>8</v>
      </c>
      <c r="B94" s="6" t="s">
        <v>116</v>
      </c>
      <c r="C94" s="19" t="s">
        <v>166</v>
      </c>
      <c r="D94" s="13" t="s">
        <v>117</v>
      </c>
      <c r="E94" s="14">
        <v>10</v>
      </c>
      <c r="F94" s="6" t="s">
        <v>122</v>
      </c>
      <c r="G94" s="42">
        <v>0.11</v>
      </c>
      <c r="H94" s="42">
        <v>0</v>
      </c>
      <c r="I94" s="38">
        <f t="shared" si="36"/>
        <v>0.11</v>
      </c>
      <c r="J94" s="39">
        <v>0.27779999999999999</v>
      </c>
      <c r="K94" s="40">
        <f t="shared" si="37"/>
        <v>1.4055800000000003</v>
      </c>
      <c r="L94" s="40">
        <f t="shared" si="37"/>
        <v>0</v>
      </c>
      <c r="M94" s="40">
        <f t="shared" si="37"/>
        <v>1.4055800000000003</v>
      </c>
      <c r="O94" s="28"/>
      <c r="P94" s="28"/>
      <c r="Q94" s="28"/>
      <c r="R94" s="28"/>
      <c r="S94" s="34">
        <v>1</v>
      </c>
      <c r="T94" s="35">
        <f t="shared" si="40"/>
        <v>1.4055800000000003</v>
      </c>
      <c r="V94" s="29">
        <f t="shared" si="39"/>
        <v>1</v>
      </c>
      <c r="W94" s="8">
        <f t="shared" si="39"/>
        <v>1.4055800000000003</v>
      </c>
    </row>
    <row r="95" spans="1:23" x14ac:dyDescent="0.25">
      <c r="A95" s="6" t="s">
        <v>8</v>
      </c>
      <c r="B95" s="6" t="s">
        <v>118</v>
      </c>
      <c r="C95" s="19" t="s">
        <v>165</v>
      </c>
      <c r="D95" s="13" t="s">
        <v>119</v>
      </c>
      <c r="E95" s="14">
        <v>10</v>
      </c>
      <c r="F95" s="6" t="s">
        <v>122</v>
      </c>
      <c r="G95" s="42">
        <v>0.16</v>
      </c>
      <c r="H95" s="42">
        <v>0</v>
      </c>
      <c r="I95" s="38">
        <f t="shared" si="36"/>
        <v>0.16</v>
      </c>
      <c r="J95" s="39">
        <v>0.27779999999999999</v>
      </c>
      <c r="K95" s="40">
        <f t="shared" si="37"/>
        <v>2.0444800000000001</v>
      </c>
      <c r="L95" s="40">
        <f t="shared" si="37"/>
        <v>0</v>
      </c>
      <c r="M95" s="40">
        <f t="shared" si="37"/>
        <v>2.0444800000000001</v>
      </c>
      <c r="O95" s="28"/>
      <c r="P95" s="28"/>
      <c r="Q95" s="28"/>
      <c r="R95" s="28"/>
      <c r="S95" s="34">
        <v>1</v>
      </c>
      <c r="T95" s="35">
        <f t="shared" si="40"/>
        <v>2.0444800000000001</v>
      </c>
      <c r="V95" s="29">
        <f t="shared" si="39"/>
        <v>1</v>
      </c>
      <c r="W95" s="8">
        <f t="shared" si="39"/>
        <v>2.0444800000000001</v>
      </c>
    </row>
    <row r="96" spans="1:23" x14ac:dyDescent="0.25">
      <c r="I96" s="32" t="s">
        <v>40</v>
      </c>
      <c r="J96" s="32"/>
      <c r="K96" s="33">
        <f t="shared" ref="K96:L96" si="41">SUM(K82:K95)</f>
        <v>4891.4912345999983</v>
      </c>
      <c r="L96" s="33">
        <f t="shared" si="41"/>
        <v>1871.72144</v>
      </c>
      <c r="M96" s="33">
        <f>SUM(M82:M95)</f>
        <v>6763.2126745999985</v>
      </c>
      <c r="P96" s="33">
        <f>SUM(P82:P95)</f>
        <v>6405.2497825999999</v>
      </c>
      <c r="R96" s="33">
        <f>SUM(R82:R95)</f>
        <v>0</v>
      </c>
      <c r="T96" s="33">
        <f>SUM(T82:T95)</f>
        <v>357.96289200000001</v>
      </c>
    </row>
    <row r="98" spans="4:23" x14ac:dyDescent="0.25">
      <c r="D98" s="87" t="s">
        <v>42</v>
      </c>
      <c r="L98" s="30" t="s">
        <v>42</v>
      </c>
      <c r="M98" s="31">
        <f>SUM(M10:M96)/2</f>
        <v>513479.60754070582</v>
      </c>
      <c r="O98" s="88">
        <f>P98/$M$98</f>
        <v>9.0597809551866498E-2</v>
      </c>
      <c r="P98" s="31">
        <f>SUM(P10:P96)/2</f>
        <v>46520.127692740018</v>
      </c>
      <c r="Q98" s="88">
        <f>R98/$M$98</f>
        <v>0.29740465748573597</v>
      </c>
      <c r="R98" s="31">
        <f>SUM(R10:R96)/2</f>
        <v>152711.22680655375</v>
      </c>
      <c r="S98" s="88">
        <f>T98/$M$98</f>
        <v>0.61199753296239745</v>
      </c>
      <c r="T98" s="31">
        <f>SUM(T10:T96)/2</f>
        <v>314248.25304141204</v>
      </c>
      <c r="W98" s="85">
        <f>SUM(W10:W96)</f>
        <v>513479.60754070594</v>
      </c>
    </row>
    <row r="99" spans="4:23" x14ac:dyDescent="0.25">
      <c r="D99" s="80"/>
    </row>
    <row r="100" spans="4:23" x14ac:dyDescent="0.25">
      <c r="D100" s="81" t="s">
        <v>214</v>
      </c>
      <c r="O100" s="88">
        <f>P100/$M$98</f>
        <v>9.0597809551866498E-2</v>
      </c>
      <c r="P100" s="89">
        <f>P98</f>
        <v>46520.127692740018</v>
      </c>
      <c r="Q100" s="88">
        <f>R100/$M$98</f>
        <v>0.38800246703760249</v>
      </c>
      <c r="R100" s="89">
        <f>R98+P100</f>
        <v>199231.35449929378</v>
      </c>
      <c r="S100" s="88">
        <f>T100/$M$98</f>
        <v>1</v>
      </c>
      <c r="T100" s="89">
        <f>T98+R100</f>
        <v>513479.60754070582</v>
      </c>
    </row>
  </sheetData>
  <mergeCells count="27">
    <mergeCell ref="A7:M7"/>
    <mergeCell ref="O2:T2"/>
    <mergeCell ref="O4:P4"/>
    <mergeCell ref="Q4:R4"/>
    <mergeCell ref="S4:T4"/>
    <mergeCell ref="A5:M5"/>
    <mergeCell ref="A45:M45"/>
    <mergeCell ref="O45:T45"/>
    <mergeCell ref="A8:M8"/>
    <mergeCell ref="O8:T8"/>
    <mergeCell ref="A15:M15"/>
    <mergeCell ref="A16:M16"/>
    <mergeCell ref="O16:T16"/>
    <mergeCell ref="A25:M25"/>
    <mergeCell ref="A26:M26"/>
    <mergeCell ref="O26:T26"/>
    <mergeCell ref="A33:M33"/>
    <mergeCell ref="A34:M34"/>
    <mergeCell ref="O34:T34"/>
    <mergeCell ref="A80:M80"/>
    <mergeCell ref="O80:T80"/>
    <mergeCell ref="A54:M54"/>
    <mergeCell ref="O54:T54"/>
    <mergeCell ref="A71:M71"/>
    <mergeCell ref="A72:M72"/>
    <mergeCell ref="O72:T72"/>
    <mergeCell ref="A79:M79"/>
  </mergeCells>
  <conditionalFormatting sqref="W10">
    <cfRule type="cellIs" dxfId="23" priority="12" operator="equal">
      <formula>M10</formula>
    </cfRule>
  </conditionalFormatting>
  <conditionalFormatting sqref="W11">
    <cfRule type="cellIs" dxfId="22" priority="11" operator="equal">
      <formula>M11</formula>
    </cfRule>
  </conditionalFormatting>
  <conditionalFormatting sqref="W12">
    <cfRule type="cellIs" dxfId="21" priority="10" operator="equal">
      <formula>M12</formula>
    </cfRule>
  </conditionalFormatting>
  <conditionalFormatting sqref="W18:W22">
    <cfRule type="cellIs" dxfId="20" priority="9" operator="equal">
      <formula>M18</formula>
    </cfRule>
  </conditionalFormatting>
  <conditionalFormatting sqref="W28:W30">
    <cfRule type="cellIs" dxfId="19" priority="8" operator="equal">
      <formula>M28</formula>
    </cfRule>
  </conditionalFormatting>
  <conditionalFormatting sqref="W36:W42">
    <cfRule type="cellIs" dxfId="18" priority="7" operator="equal">
      <formula>M36</formula>
    </cfRule>
  </conditionalFormatting>
  <conditionalFormatting sqref="W47:W51">
    <cfRule type="cellIs" dxfId="17" priority="6" operator="equal">
      <formula>M47</formula>
    </cfRule>
  </conditionalFormatting>
  <conditionalFormatting sqref="W56:W64">
    <cfRule type="cellIs" dxfId="16" priority="5" operator="equal">
      <formula>M56</formula>
    </cfRule>
  </conditionalFormatting>
  <conditionalFormatting sqref="W65:W68">
    <cfRule type="cellIs" dxfId="15" priority="4" operator="equal">
      <formula>M65</formula>
    </cfRule>
  </conditionalFormatting>
  <conditionalFormatting sqref="W74:W76">
    <cfRule type="cellIs" dxfId="14" priority="3" operator="equal">
      <formula>M74</formula>
    </cfRule>
  </conditionalFormatting>
  <conditionalFormatting sqref="W82:W93">
    <cfRule type="cellIs" dxfId="13" priority="2" operator="equal">
      <formula>M82</formula>
    </cfRule>
  </conditionalFormatting>
  <conditionalFormatting sqref="W94:W95">
    <cfRule type="cellIs" dxfId="12" priority="1" operator="equal">
      <formula>M94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00"/>
  <sheetViews>
    <sheetView tabSelected="1" zoomScale="85" zoomScaleNormal="85" workbookViewId="0">
      <selection activeCell="M102" sqref="M102"/>
    </sheetView>
  </sheetViews>
  <sheetFormatPr defaultRowHeight="15" x14ac:dyDescent="0.25"/>
  <cols>
    <col min="1" max="1" width="12.85546875" style="1" bestFit="1" customWidth="1"/>
    <col min="2" max="2" width="6.85546875" style="1" bestFit="1" customWidth="1"/>
    <col min="3" max="3" width="13.5703125" style="36" bestFit="1" customWidth="1"/>
    <col min="4" max="4" width="61.28515625" style="1" customWidth="1"/>
    <col min="5" max="5" width="9.7109375" style="1" bestFit="1" customWidth="1"/>
    <col min="6" max="6" width="7.5703125" style="1" bestFit="1" customWidth="1"/>
    <col min="7" max="8" width="13.42578125" style="1" hidden="1" customWidth="1"/>
    <col min="9" max="9" width="18" style="1" hidden="1" customWidth="1"/>
    <col min="10" max="10" width="8.85546875" style="1" hidden="1" customWidth="1"/>
    <col min="11" max="11" width="17.7109375" style="1" hidden="1" customWidth="1"/>
    <col min="12" max="12" width="16.7109375" style="1" hidden="1" customWidth="1"/>
    <col min="13" max="13" width="14.5703125" style="1" bestFit="1" customWidth="1"/>
    <col min="14" max="14" width="3.28515625" style="1" customWidth="1"/>
    <col min="15" max="20" width="16.85546875" style="1" customWidth="1"/>
    <col min="21" max="21" width="9.140625" style="1"/>
    <col min="22" max="22" width="12.5703125" style="1" customWidth="1"/>
    <col min="23" max="23" width="13.85546875" style="1" bestFit="1" customWidth="1"/>
    <col min="24" max="16384" width="9.140625" style="1"/>
  </cols>
  <sheetData>
    <row r="2" spans="1:23" x14ac:dyDescent="0.25">
      <c r="D2" s="81" t="s">
        <v>210</v>
      </c>
      <c r="E2" s="82" t="s">
        <v>211</v>
      </c>
      <c r="J2" s="25"/>
      <c r="O2" s="98" t="s">
        <v>28</v>
      </c>
      <c r="P2" s="99"/>
      <c r="Q2" s="99"/>
      <c r="R2" s="99"/>
      <c r="S2" s="99"/>
      <c r="T2" s="99"/>
      <c r="V2" s="86" t="s">
        <v>213</v>
      </c>
      <c r="W2" s="86"/>
    </row>
    <row r="3" spans="1:23" x14ac:dyDescent="0.25">
      <c r="D3" s="81" t="s">
        <v>212</v>
      </c>
      <c r="E3" s="83">
        <v>43344</v>
      </c>
    </row>
    <row r="4" spans="1:23" ht="15.75" thickBot="1" x14ac:dyDescent="0.3">
      <c r="O4" s="100" t="s">
        <v>29</v>
      </c>
      <c r="P4" s="101"/>
      <c r="Q4" s="100" t="s">
        <v>30</v>
      </c>
      <c r="R4" s="101"/>
      <c r="S4" s="100" t="s">
        <v>41</v>
      </c>
      <c r="T4" s="101"/>
    </row>
    <row r="5" spans="1:23" ht="15.75" thickBot="1" x14ac:dyDescent="0.3">
      <c r="A5" s="92" t="s">
        <v>27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4"/>
      <c r="O5" s="84" t="s">
        <v>31</v>
      </c>
      <c r="P5" s="84" t="s">
        <v>32</v>
      </c>
      <c r="Q5" s="84" t="s">
        <v>31</v>
      </c>
      <c r="R5" s="84" t="s">
        <v>32</v>
      </c>
      <c r="S5" s="84" t="s">
        <v>31</v>
      </c>
      <c r="T5" s="84" t="s">
        <v>32</v>
      </c>
      <c r="V5" s="26" t="s">
        <v>31</v>
      </c>
      <c r="W5" s="26" t="s">
        <v>32</v>
      </c>
    </row>
    <row r="6" spans="1:23" ht="15.75" thickBot="1" x14ac:dyDescent="0.3"/>
    <row r="7" spans="1:23" ht="15.75" thickBot="1" x14ac:dyDescent="0.3">
      <c r="A7" s="95" t="s">
        <v>14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7"/>
    </row>
    <row r="8" spans="1:23" x14ac:dyDescent="0.25">
      <c r="A8" s="90" t="s">
        <v>15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1"/>
      <c r="O8" s="90"/>
      <c r="P8" s="90"/>
      <c r="Q8" s="90"/>
      <c r="R8" s="90"/>
      <c r="S8" s="90"/>
      <c r="T8" s="90"/>
    </row>
    <row r="9" spans="1:23" hidden="1" x14ac:dyDescent="0.25">
      <c r="A9" s="2" t="s">
        <v>2</v>
      </c>
      <c r="B9" s="3" t="s">
        <v>3</v>
      </c>
      <c r="C9" s="3" t="s">
        <v>4</v>
      </c>
      <c r="D9" s="3" t="s">
        <v>5</v>
      </c>
      <c r="E9" s="4" t="s">
        <v>6</v>
      </c>
      <c r="F9" s="3" t="s">
        <v>7</v>
      </c>
      <c r="G9" s="3" t="s">
        <v>33</v>
      </c>
      <c r="H9" s="3" t="s">
        <v>34</v>
      </c>
      <c r="I9" s="5" t="s">
        <v>35</v>
      </c>
      <c r="J9" s="5" t="s">
        <v>36</v>
      </c>
      <c r="K9" s="3" t="s">
        <v>37</v>
      </c>
      <c r="L9" s="3" t="s">
        <v>38</v>
      </c>
      <c r="M9" s="5" t="s">
        <v>39</v>
      </c>
    </row>
    <row r="10" spans="1:23" hidden="1" x14ac:dyDescent="0.25">
      <c r="A10" s="79" t="s">
        <v>16</v>
      </c>
      <c r="B10" s="79" t="s">
        <v>9</v>
      </c>
      <c r="C10" s="79" t="s">
        <v>17</v>
      </c>
      <c r="D10" s="16" t="s">
        <v>18</v>
      </c>
      <c r="E10" s="14">
        <v>1</v>
      </c>
      <c r="F10" s="7" t="s">
        <v>122</v>
      </c>
      <c r="G10" s="42">
        <v>218.54</v>
      </c>
      <c r="H10" s="42">
        <v>0</v>
      </c>
      <c r="I10" s="38">
        <f>G10+H10</f>
        <v>218.54</v>
      </c>
      <c r="J10" s="39">
        <v>0.27779999999999999</v>
      </c>
      <c r="K10" s="40">
        <f>$E10*G10*(1+$J10)</f>
        <v>279.25041199999998</v>
      </c>
      <c r="L10" s="40">
        <f t="shared" ref="L10:M12" si="0">$E10*H10*(1+$J10)</f>
        <v>0</v>
      </c>
      <c r="M10" s="40">
        <f t="shared" si="0"/>
        <v>279.25041199999998</v>
      </c>
      <c r="O10" s="34">
        <v>1</v>
      </c>
      <c r="P10" s="35">
        <f>O10*$M10</f>
        <v>279.25041199999998</v>
      </c>
      <c r="Q10" s="28"/>
      <c r="R10" s="28"/>
      <c r="S10" s="28"/>
      <c r="T10" s="28"/>
      <c r="V10" s="29">
        <f>O10+Q10+S10</f>
        <v>1</v>
      </c>
      <c r="W10" s="8">
        <f>P10+R10+T10</f>
        <v>279.25041199999998</v>
      </c>
    </row>
    <row r="11" spans="1:23" ht="30" hidden="1" x14ac:dyDescent="0.25">
      <c r="A11" s="6" t="s">
        <v>8</v>
      </c>
      <c r="B11" s="18" t="s">
        <v>10</v>
      </c>
      <c r="C11" s="15" t="s">
        <v>120</v>
      </c>
      <c r="D11" s="16" t="s">
        <v>20</v>
      </c>
      <c r="E11" s="14">
        <v>20</v>
      </c>
      <c r="F11" s="7" t="s">
        <v>67</v>
      </c>
      <c r="G11" s="42">
        <v>0.4</v>
      </c>
      <c r="H11" s="42">
        <v>70.260000000000005</v>
      </c>
      <c r="I11" s="38">
        <f t="shared" ref="I11:I12" si="1">G11+H11</f>
        <v>70.660000000000011</v>
      </c>
      <c r="J11" s="39">
        <v>0.27779999999999999</v>
      </c>
      <c r="K11" s="40">
        <f t="shared" ref="K11:K12" si="2">$E11*G11*(1+$J11)</f>
        <v>10.2224</v>
      </c>
      <c r="L11" s="40">
        <f t="shared" si="0"/>
        <v>1795.56456</v>
      </c>
      <c r="M11" s="40">
        <f t="shared" si="0"/>
        <v>1805.7869600000004</v>
      </c>
      <c r="O11" s="34">
        <v>0.5</v>
      </c>
      <c r="P11" s="35">
        <f>O11*$M11</f>
        <v>902.89348000000018</v>
      </c>
      <c r="Q11" s="34">
        <v>0.5</v>
      </c>
      <c r="R11" s="35">
        <f>Q11*$M11</f>
        <v>902.89348000000018</v>
      </c>
      <c r="S11" s="28"/>
      <c r="T11" s="28"/>
      <c r="V11" s="29">
        <f t="shared" ref="V11:V12" si="3">O11+Q11+S11</f>
        <v>1</v>
      </c>
      <c r="W11" s="8">
        <f>P11+R11+T11</f>
        <v>1805.7869600000004</v>
      </c>
    </row>
    <row r="12" spans="1:23" ht="30" hidden="1" x14ac:dyDescent="0.25">
      <c r="A12" s="6" t="s">
        <v>8</v>
      </c>
      <c r="B12" s="18" t="s">
        <v>11</v>
      </c>
      <c r="C12" s="15" t="s">
        <v>121</v>
      </c>
      <c r="D12" s="16" t="s">
        <v>21</v>
      </c>
      <c r="E12" s="14">
        <v>40</v>
      </c>
      <c r="F12" s="7" t="s">
        <v>67</v>
      </c>
      <c r="G12" s="42">
        <v>2.99</v>
      </c>
      <c r="H12" s="42">
        <v>19.010000000000002</v>
      </c>
      <c r="I12" s="38">
        <f t="shared" si="1"/>
        <v>22</v>
      </c>
      <c r="J12" s="39">
        <v>0.27779999999999999</v>
      </c>
      <c r="K12" s="40">
        <f t="shared" si="2"/>
        <v>152.82488000000001</v>
      </c>
      <c r="L12" s="40">
        <f t="shared" si="0"/>
        <v>971.63912000000016</v>
      </c>
      <c r="M12" s="40">
        <f t="shared" si="0"/>
        <v>1124.4639999999999</v>
      </c>
      <c r="O12" s="34">
        <v>0.5</v>
      </c>
      <c r="P12" s="35">
        <f>O12*$M12</f>
        <v>562.23199999999997</v>
      </c>
      <c r="Q12" s="34">
        <v>0.5</v>
      </c>
      <c r="R12" s="35">
        <f>Q12*$M12</f>
        <v>562.23199999999997</v>
      </c>
      <c r="S12" s="28"/>
      <c r="T12" s="28"/>
      <c r="V12" s="29">
        <f t="shared" si="3"/>
        <v>1</v>
      </c>
      <c r="W12" s="8">
        <f>P12+R12+T12</f>
        <v>1124.4639999999999</v>
      </c>
    </row>
    <row r="13" spans="1:23" x14ac:dyDescent="0.25">
      <c r="A13" s="20"/>
      <c r="B13" s="21"/>
      <c r="C13" s="37"/>
      <c r="D13" s="22"/>
      <c r="E13" s="23"/>
      <c r="F13" s="24"/>
      <c r="G13" s="24"/>
      <c r="H13" s="24"/>
      <c r="I13" s="32" t="s">
        <v>40</v>
      </c>
      <c r="J13" s="32"/>
      <c r="K13" s="33">
        <f t="shared" ref="K13:L13" si="4">SUM(K10:K12)</f>
        <v>442.29769199999998</v>
      </c>
      <c r="L13" s="33">
        <f t="shared" si="4"/>
        <v>2767.2036800000001</v>
      </c>
      <c r="M13" s="33">
        <f>SUM(M10:M12)</f>
        <v>3209.5013720000002</v>
      </c>
      <c r="P13" s="33">
        <f>SUM(P10:P12)</f>
        <v>1744.375892</v>
      </c>
      <c r="R13" s="33">
        <f>SUM(R10:R12)</f>
        <v>1465.1254800000002</v>
      </c>
      <c r="T13" s="33">
        <f>SUM(T10:T12)</f>
        <v>0</v>
      </c>
    </row>
    <row r="14" spans="1:23" ht="15.75" thickBot="1" x14ac:dyDescent="0.3"/>
    <row r="15" spans="1:23" ht="15.75" thickBot="1" x14ac:dyDescent="0.3">
      <c r="A15" s="95" t="s">
        <v>0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7"/>
    </row>
    <row r="16" spans="1:23" x14ac:dyDescent="0.25">
      <c r="A16" s="90" t="s">
        <v>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O16" s="90"/>
      <c r="P16" s="90"/>
      <c r="Q16" s="90"/>
      <c r="R16" s="90"/>
      <c r="S16" s="90"/>
      <c r="T16" s="90"/>
    </row>
    <row r="17" spans="1:23" hidden="1" x14ac:dyDescent="0.25">
      <c r="A17" s="10" t="s">
        <v>2</v>
      </c>
      <c r="B17" s="11" t="s">
        <v>3</v>
      </c>
      <c r="C17" s="11" t="s">
        <v>4</v>
      </c>
      <c r="D17" s="12" t="s">
        <v>5</v>
      </c>
      <c r="E17" s="4" t="s">
        <v>6</v>
      </c>
      <c r="F17" s="3" t="s">
        <v>7</v>
      </c>
      <c r="G17" s="3" t="s">
        <v>33</v>
      </c>
      <c r="H17" s="3" t="s">
        <v>34</v>
      </c>
      <c r="I17" s="5" t="s">
        <v>35</v>
      </c>
      <c r="J17" s="5" t="s">
        <v>36</v>
      </c>
      <c r="K17" s="3" t="s">
        <v>37</v>
      </c>
      <c r="L17" s="3" t="s">
        <v>38</v>
      </c>
      <c r="M17" s="5" t="s">
        <v>39</v>
      </c>
    </row>
    <row r="18" spans="1:23" hidden="1" x14ac:dyDescent="0.25">
      <c r="A18" s="6" t="s">
        <v>8</v>
      </c>
      <c r="B18" s="6" t="s">
        <v>9</v>
      </c>
      <c r="C18" s="19" t="s">
        <v>124</v>
      </c>
      <c r="D18" s="13" t="s">
        <v>22</v>
      </c>
      <c r="E18" s="14">
        <v>6</v>
      </c>
      <c r="F18" s="6" t="s">
        <v>23</v>
      </c>
      <c r="G18" s="42">
        <f>0.15+271.29</f>
        <v>271.44</v>
      </c>
      <c r="H18" s="42">
        <v>30.78</v>
      </c>
      <c r="I18" s="38">
        <f t="shared" ref="I18:I22" si="5">G18+H18</f>
        <v>302.22000000000003</v>
      </c>
      <c r="J18" s="39">
        <v>0.27779999999999999</v>
      </c>
      <c r="K18" s="40">
        <f t="shared" ref="K18:M22" si="6">$E18*G18*(1+$J18)</f>
        <v>2081.076192</v>
      </c>
      <c r="L18" s="40">
        <f t="shared" si="6"/>
        <v>235.98410400000003</v>
      </c>
      <c r="M18" s="40">
        <f t="shared" si="6"/>
        <v>2317.0602960000001</v>
      </c>
      <c r="O18" s="34">
        <v>1</v>
      </c>
      <c r="P18" s="35">
        <f>O18*$M18</f>
        <v>2317.0602960000001</v>
      </c>
      <c r="Q18" s="28"/>
      <c r="R18" s="28"/>
      <c r="S18" s="28"/>
      <c r="T18" s="28"/>
      <c r="V18" s="29">
        <f t="shared" ref="V18:W22" si="7">O18+Q18+S18</f>
        <v>1</v>
      </c>
      <c r="W18" s="8">
        <f t="shared" si="7"/>
        <v>2317.0602960000001</v>
      </c>
    </row>
    <row r="19" spans="1:23" ht="60" hidden="1" x14ac:dyDescent="0.25">
      <c r="A19" s="6" t="s">
        <v>8</v>
      </c>
      <c r="B19" s="6" t="s">
        <v>10</v>
      </c>
      <c r="C19" s="19" t="s">
        <v>123</v>
      </c>
      <c r="D19" s="41" t="s">
        <v>125</v>
      </c>
      <c r="E19" s="14">
        <v>2</v>
      </c>
      <c r="F19" s="6" t="s">
        <v>24</v>
      </c>
      <c r="G19" s="42">
        <v>394.53</v>
      </c>
      <c r="H19" s="42">
        <v>0</v>
      </c>
      <c r="I19" s="38">
        <f t="shared" si="5"/>
        <v>394.53</v>
      </c>
      <c r="J19" s="39">
        <v>0.27779999999999999</v>
      </c>
      <c r="K19" s="40">
        <f t="shared" si="6"/>
        <v>1008.260868</v>
      </c>
      <c r="L19" s="40">
        <f t="shared" si="6"/>
        <v>0</v>
      </c>
      <c r="M19" s="40">
        <f t="shared" si="6"/>
        <v>1008.260868</v>
      </c>
      <c r="O19" s="34">
        <v>0.5</v>
      </c>
      <c r="P19" s="35">
        <f>O19*$M19</f>
        <v>504.13043399999998</v>
      </c>
      <c r="Q19" s="34">
        <v>0.5</v>
      </c>
      <c r="R19" s="35">
        <f>Q19*$M19</f>
        <v>504.13043399999998</v>
      </c>
      <c r="S19" s="28"/>
      <c r="T19" s="28"/>
      <c r="V19" s="29">
        <f t="shared" si="7"/>
        <v>1</v>
      </c>
      <c r="W19" s="8">
        <f t="shared" si="7"/>
        <v>1008.260868</v>
      </c>
    </row>
    <row r="20" spans="1:23" ht="60" hidden="1" x14ac:dyDescent="0.25">
      <c r="A20" s="6" t="s">
        <v>8</v>
      </c>
      <c r="B20" s="6" t="s">
        <v>11</v>
      </c>
      <c r="C20" s="19" t="s">
        <v>123</v>
      </c>
      <c r="D20" s="41" t="s">
        <v>125</v>
      </c>
      <c r="E20" s="14">
        <v>2</v>
      </c>
      <c r="F20" s="6" t="s">
        <v>24</v>
      </c>
      <c r="G20" s="42">
        <v>394.53</v>
      </c>
      <c r="H20" s="42">
        <v>0</v>
      </c>
      <c r="I20" s="38">
        <f t="shared" si="5"/>
        <v>394.53</v>
      </c>
      <c r="J20" s="39">
        <v>0.27779999999999999</v>
      </c>
      <c r="K20" s="40">
        <f t="shared" si="6"/>
        <v>1008.260868</v>
      </c>
      <c r="L20" s="40">
        <f t="shared" si="6"/>
        <v>0</v>
      </c>
      <c r="M20" s="40">
        <f t="shared" si="6"/>
        <v>1008.260868</v>
      </c>
      <c r="O20" s="34">
        <v>0.5</v>
      </c>
      <c r="P20" s="35">
        <f>O20*$M20</f>
        <v>504.13043399999998</v>
      </c>
      <c r="Q20" s="34">
        <v>0.5</v>
      </c>
      <c r="R20" s="35">
        <f>Q20*$M20</f>
        <v>504.13043399999998</v>
      </c>
      <c r="S20" s="28"/>
      <c r="T20" s="28"/>
      <c r="V20" s="29">
        <f t="shared" si="7"/>
        <v>1</v>
      </c>
      <c r="W20" s="8">
        <f t="shared" si="7"/>
        <v>1008.260868</v>
      </c>
    </row>
    <row r="21" spans="1:23" hidden="1" x14ac:dyDescent="0.25">
      <c r="A21" s="6" t="s">
        <v>8</v>
      </c>
      <c r="B21" s="6" t="s">
        <v>12</v>
      </c>
      <c r="C21" s="19" t="s">
        <v>126</v>
      </c>
      <c r="D21" s="13" t="s">
        <v>25</v>
      </c>
      <c r="E21" s="14">
        <v>374.86</v>
      </c>
      <c r="F21" s="6" t="s">
        <v>23</v>
      </c>
      <c r="G21" s="42">
        <f>56.86+0.01</f>
        <v>56.87</v>
      </c>
      <c r="H21" s="42">
        <v>4.5199999999999996</v>
      </c>
      <c r="I21" s="38">
        <f t="shared" si="5"/>
        <v>61.39</v>
      </c>
      <c r="J21" s="39">
        <v>0.27779999999999999</v>
      </c>
      <c r="K21" s="40">
        <f t="shared" si="6"/>
        <v>27240.508661960001</v>
      </c>
      <c r="L21" s="40">
        <f t="shared" si="6"/>
        <v>2165.0624081599999</v>
      </c>
      <c r="M21" s="40">
        <f t="shared" si="6"/>
        <v>29405.571070120001</v>
      </c>
      <c r="O21" s="34">
        <v>1</v>
      </c>
      <c r="P21" s="35">
        <f>O21*$M21</f>
        <v>29405.571070120001</v>
      </c>
      <c r="Q21" s="28"/>
      <c r="R21" s="28"/>
      <c r="S21" s="28"/>
      <c r="T21" s="28"/>
      <c r="V21" s="29">
        <f t="shared" si="7"/>
        <v>1</v>
      </c>
      <c r="W21" s="8">
        <f t="shared" si="7"/>
        <v>29405.571070120001</v>
      </c>
    </row>
    <row r="22" spans="1:23" ht="45" hidden="1" x14ac:dyDescent="0.25">
      <c r="A22" s="6" t="s">
        <v>8</v>
      </c>
      <c r="B22" s="6" t="s">
        <v>13</v>
      </c>
      <c r="C22" s="19" t="s">
        <v>127</v>
      </c>
      <c r="D22" s="13" t="s">
        <v>26</v>
      </c>
      <c r="E22" s="14">
        <v>520.41</v>
      </c>
      <c r="F22" s="6" t="s">
        <v>23</v>
      </c>
      <c r="G22" s="42">
        <v>1.26</v>
      </c>
      <c r="H22" s="42">
        <v>2.23</v>
      </c>
      <c r="I22" s="38">
        <f t="shared" si="5"/>
        <v>3.49</v>
      </c>
      <c r="J22" s="39">
        <v>0.27779999999999999</v>
      </c>
      <c r="K22" s="40">
        <f t="shared" si="6"/>
        <v>837.87467147999996</v>
      </c>
      <c r="L22" s="40">
        <f t="shared" si="6"/>
        <v>1482.9051725399997</v>
      </c>
      <c r="M22" s="40">
        <f t="shared" si="6"/>
        <v>2320.7798440199999</v>
      </c>
      <c r="O22" s="34">
        <v>1</v>
      </c>
      <c r="P22" s="35">
        <f>O22*$M22</f>
        <v>2320.7798440199999</v>
      </c>
      <c r="Q22" s="28"/>
      <c r="R22" s="28"/>
      <c r="S22" s="28"/>
      <c r="T22" s="28"/>
      <c r="V22" s="29">
        <f t="shared" si="7"/>
        <v>1</v>
      </c>
      <c r="W22" s="8">
        <f t="shared" si="7"/>
        <v>2320.7798440199999</v>
      </c>
    </row>
    <row r="23" spans="1:23" x14ac:dyDescent="0.25">
      <c r="I23" s="32" t="s">
        <v>40</v>
      </c>
      <c r="J23" s="32"/>
      <c r="K23" s="33">
        <f t="shared" ref="K23:L23" si="8">SUM(K18:K22)</f>
        <v>32175.98126144</v>
      </c>
      <c r="L23" s="33">
        <f t="shared" si="8"/>
        <v>3883.9516846999995</v>
      </c>
      <c r="M23" s="33">
        <f>SUM(M18:M22)</f>
        <v>36059.932946139998</v>
      </c>
      <c r="P23" s="33">
        <f>SUM(P18:P22)</f>
        <v>35051.67207814</v>
      </c>
      <c r="R23" s="33">
        <f>SUM(R18:R22)</f>
        <v>1008.260868</v>
      </c>
      <c r="T23" s="33">
        <f>SUM(T18:T22)</f>
        <v>0</v>
      </c>
    </row>
    <row r="24" spans="1:23" ht="15.75" thickBot="1" x14ac:dyDescent="0.3"/>
    <row r="25" spans="1:23" ht="15.75" thickBot="1" x14ac:dyDescent="0.3">
      <c r="A25" s="95" t="s">
        <v>44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7"/>
    </row>
    <row r="26" spans="1:23" x14ac:dyDescent="0.25">
      <c r="A26" s="90" t="s">
        <v>43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1"/>
      <c r="O26" s="90"/>
      <c r="P26" s="90"/>
      <c r="Q26" s="90"/>
      <c r="R26" s="90"/>
      <c r="S26" s="90"/>
      <c r="T26" s="90"/>
    </row>
    <row r="27" spans="1:23" hidden="1" x14ac:dyDescent="0.25">
      <c r="A27" s="2" t="s">
        <v>2</v>
      </c>
      <c r="B27" s="3" t="s">
        <v>3</v>
      </c>
      <c r="C27" s="3" t="s">
        <v>4</v>
      </c>
      <c r="D27" s="3" t="s">
        <v>5</v>
      </c>
      <c r="E27" s="4" t="s">
        <v>6</v>
      </c>
      <c r="F27" s="3" t="s">
        <v>7</v>
      </c>
      <c r="G27" s="3" t="s">
        <v>33</v>
      </c>
      <c r="H27" s="3" t="s">
        <v>34</v>
      </c>
      <c r="I27" s="5" t="s">
        <v>35</v>
      </c>
      <c r="J27" s="5" t="s">
        <v>36</v>
      </c>
      <c r="K27" s="3" t="s">
        <v>37</v>
      </c>
      <c r="L27" s="3" t="s">
        <v>38</v>
      </c>
      <c r="M27" s="5" t="s">
        <v>39</v>
      </c>
    </row>
    <row r="28" spans="1:23" hidden="1" x14ac:dyDescent="0.25">
      <c r="A28" s="15" t="s">
        <v>16</v>
      </c>
      <c r="B28" s="15" t="s">
        <v>9</v>
      </c>
      <c r="C28" s="15" t="s">
        <v>17</v>
      </c>
      <c r="D28" s="16" t="s">
        <v>18</v>
      </c>
      <c r="E28" s="14">
        <v>1</v>
      </c>
      <c r="F28" s="7" t="s">
        <v>122</v>
      </c>
      <c r="G28" s="42">
        <v>218.54</v>
      </c>
      <c r="H28" s="42">
        <v>0</v>
      </c>
      <c r="I28" s="38">
        <f t="shared" ref="I28:I30" si="9">G28+H28</f>
        <v>218.54</v>
      </c>
      <c r="J28" s="39">
        <v>0.27779999999999999</v>
      </c>
      <c r="K28" s="40">
        <f t="shared" ref="K28:M30" si="10">$E28*G28*(1+$J28)</f>
        <v>279.25041199999998</v>
      </c>
      <c r="L28" s="40">
        <f t="shared" si="10"/>
        <v>0</v>
      </c>
      <c r="M28" s="40">
        <f t="shared" si="10"/>
        <v>279.25041199999998</v>
      </c>
      <c r="O28" s="34">
        <v>1</v>
      </c>
      <c r="P28" s="35">
        <f>O28*$M28</f>
        <v>279.25041199999998</v>
      </c>
      <c r="Q28" s="28"/>
      <c r="R28" s="28"/>
      <c r="S28" s="28"/>
      <c r="T28" s="28"/>
      <c r="V28" s="29">
        <f t="shared" ref="V28:W30" si="11">O28+Q28+S28</f>
        <v>1</v>
      </c>
      <c r="W28" s="8">
        <f t="shared" si="11"/>
        <v>279.25041199999998</v>
      </c>
    </row>
    <row r="29" spans="1:23" ht="30" hidden="1" x14ac:dyDescent="0.25">
      <c r="A29" s="6" t="s">
        <v>8</v>
      </c>
      <c r="B29" s="18" t="s">
        <v>10</v>
      </c>
      <c r="C29" s="15" t="s">
        <v>120</v>
      </c>
      <c r="D29" s="16" t="s">
        <v>20</v>
      </c>
      <c r="E29" s="17">
        <v>160</v>
      </c>
      <c r="F29" s="7" t="s">
        <v>67</v>
      </c>
      <c r="G29" s="42">
        <v>0.4</v>
      </c>
      <c r="H29" s="42">
        <v>70.260000000000005</v>
      </c>
      <c r="I29" s="38">
        <f t="shared" si="9"/>
        <v>70.660000000000011</v>
      </c>
      <c r="J29" s="39">
        <v>0.27779999999999999</v>
      </c>
      <c r="K29" s="40">
        <f t="shared" si="10"/>
        <v>81.779200000000003</v>
      </c>
      <c r="L29" s="40">
        <f t="shared" si="10"/>
        <v>14364.51648</v>
      </c>
      <c r="M29" s="40">
        <f t="shared" si="10"/>
        <v>14446.295680000003</v>
      </c>
      <c r="O29" s="28"/>
      <c r="P29" s="28"/>
      <c r="Q29" s="34">
        <v>0.5</v>
      </c>
      <c r="R29" s="35">
        <f>Q29*$M29</f>
        <v>7223.1478400000015</v>
      </c>
      <c r="S29" s="34">
        <v>0.5</v>
      </c>
      <c r="T29" s="35">
        <f>S29*$M29</f>
        <v>7223.1478400000015</v>
      </c>
      <c r="V29" s="29">
        <f t="shared" si="11"/>
        <v>1</v>
      </c>
      <c r="W29" s="8">
        <f t="shared" si="11"/>
        <v>14446.295680000003</v>
      </c>
    </row>
    <row r="30" spans="1:23" ht="30" hidden="1" x14ac:dyDescent="0.25">
      <c r="A30" s="6" t="s">
        <v>8</v>
      </c>
      <c r="B30" s="18" t="s">
        <v>11</v>
      </c>
      <c r="C30" s="15" t="s">
        <v>121</v>
      </c>
      <c r="D30" s="16" t="s">
        <v>21</v>
      </c>
      <c r="E30" s="9">
        <v>320</v>
      </c>
      <c r="F30" s="7" t="s">
        <v>67</v>
      </c>
      <c r="G30" s="42">
        <v>2.99</v>
      </c>
      <c r="H30" s="42">
        <v>19.010000000000002</v>
      </c>
      <c r="I30" s="38">
        <f t="shared" si="9"/>
        <v>22</v>
      </c>
      <c r="J30" s="39">
        <v>0.27779999999999999</v>
      </c>
      <c r="K30" s="40">
        <f t="shared" si="10"/>
        <v>1222.5990400000001</v>
      </c>
      <c r="L30" s="40">
        <f t="shared" si="10"/>
        <v>7773.1129600000013</v>
      </c>
      <c r="M30" s="40">
        <f t="shared" si="10"/>
        <v>8995.7119999999995</v>
      </c>
      <c r="O30" s="28"/>
      <c r="P30" s="28"/>
      <c r="Q30" s="34">
        <v>0.5</v>
      </c>
      <c r="R30" s="35">
        <f>Q30*$M30</f>
        <v>4497.8559999999998</v>
      </c>
      <c r="S30" s="34">
        <v>0.5</v>
      </c>
      <c r="T30" s="35">
        <f>S30*$M30</f>
        <v>4497.8559999999998</v>
      </c>
      <c r="V30" s="29">
        <f t="shared" si="11"/>
        <v>1</v>
      </c>
      <c r="W30" s="8">
        <f t="shared" si="11"/>
        <v>8995.7119999999995</v>
      </c>
    </row>
    <row r="31" spans="1:23" x14ac:dyDescent="0.25">
      <c r="A31" s="20"/>
      <c r="B31" s="21"/>
      <c r="C31" s="37"/>
      <c r="D31" s="22"/>
      <c r="E31" s="23"/>
      <c r="F31" s="24"/>
      <c r="G31" s="24"/>
      <c r="H31" s="24"/>
      <c r="I31" s="32" t="s">
        <v>40</v>
      </c>
      <c r="J31" s="32"/>
      <c r="K31" s="33">
        <f t="shared" ref="K31:L31" si="12">SUM(K28:K30)</f>
        <v>1583.6286520000001</v>
      </c>
      <c r="L31" s="33">
        <f t="shared" si="12"/>
        <v>22137.629440000001</v>
      </c>
      <c r="M31" s="33">
        <f>SUM(M28:M30)</f>
        <v>23721.258092000004</v>
      </c>
      <c r="P31" s="33">
        <f>SUM(P28:P30)</f>
        <v>279.25041199999998</v>
      </c>
      <c r="R31" s="33">
        <f>SUM(R28:R30)</f>
        <v>11721.003840000001</v>
      </c>
      <c r="T31" s="33">
        <f>SUM(T28:T30)</f>
        <v>11721.003840000001</v>
      </c>
    </row>
    <row r="32" spans="1:23" ht="15.75" thickBot="1" x14ac:dyDescent="0.3"/>
    <row r="33" spans="1:23" ht="15.75" thickBot="1" x14ac:dyDescent="0.3">
      <c r="A33" s="95" t="s">
        <v>45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7"/>
    </row>
    <row r="34" spans="1:23" x14ac:dyDescent="0.25">
      <c r="A34" s="90" t="s">
        <v>46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1"/>
      <c r="O34" s="90"/>
      <c r="P34" s="90"/>
      <c r="Q34" s="90"/>
      <c r="R34" s="90"/>
      <c r="S34" s="90"/>
      <c r="T34" s="90"/>
    </row>
    <row r="35" spans="1:23" hidden="1" x14ac:dyDescent="0.25">
      <c r="A35" s="10" t="s">
        <v>2</v>
      </c>
      <c r="B35" s="11" t="s">
        <v>3</v>
      </c>
      <c r="C35" s="11" t="s">
        <v>4</v>
      </c>
      <c r="D35" s="12" t="s">
        <v>5</v>
      </c>
      <c r="E35" s="4" t="s">
        <v>6</v>
      </c>
      <c r="F35" s="3" t="s">
        <v>7</v>
      </c>
      <c r="G35" s="3" t="s">
        <v>33</v>
      </c>
      <c r="H35" s="3" t="s">
        <v>34</v>
      </c>
      <c r="I35" s="5" t="s">
        <v>35</v>
      </c>
      <c r="J35" s="5" t="s">
        <v>36</v>
      </c>
      <c r="K35" s="3" t="s">
        <v>37</v>
      </c>
      <c r="L35" s="3" t="s">
        <v>38</v>
      </c>
      <c r="M35" s="5" t="s">
        <v>39</v>
      </c>
    </row>
    <row r="36" spans="1:23" ht="30" hidden="1" x14ac:dyDescent="0.25">
      <c r="A36" s="6" t="s">
        <v>8</v>
      </c>
      <c r="B36" s="6" t="s">
        <v>9</v>
      </c>
      <c r="C36" s="19" t="s">
        <v>128</v>
      </c>
      <c r="D36" s="13" t="s">
        <v>130</v>
      </c>
      <c r="E36" s="14">
        <v>433.28</v>
      </c>
      <c r="F36" s="6" t="s">
        <v>47</v>
      </c>
      <c r="G36" s="42">
        <v>7.05</v>
      </c>
      <c r="H36" s="42">
        <v>1.49</v>
      </c>
      <c r="I36" s="38">
        <f t="shared" ref="I36:I42" si="13">G36+H36</f>
        <v>8.5399999999999991</v>
      </c>
      <c r="J36" s="39">
        <v>0.27779999999999999</v>
      </c>
      <c r="K36" s="40">
        <f t="shared" ref="K36:M42" si="14">$E36*G36*(1+$J36)</f>
        <v>3903.1985471999997</v>
      </c>
      <c r="L36" s="40">
        <f t="shared" si="14"/>
        <v>824.93132415999992</v>
      </c>
      <c r="M36" s="40">
        <f t="shared" si="14"/>
        <v>4728.129871359999</v>
      </c>
      <c r="O36" s="28"/>
      <c r="P36" s="28"/>
      <c r="Q36" s="34">
        <v>1</v>
      </c>
      <c r="R36" s="35">
        <f t="shared" ref="R36:R42" si="15">Q36*$M36</f>
        <v>4728.129871359999</v>
      </c>
      <c r="S36" s="28"/>
      <c r="T36" s="28"/>
      <c r="V36" s="29">
        <f t="shared" ref="V36:W42" si="16">O36+Q36+S36</f>
        <v>1</v>
      </c>
      <c r="W36" s="8">
        <f t="shared" si="16"/>
        <v>4728.129871359999</v>
      </c>
    </row>
    <row r="37" spans="1:23" ht="30" hidden="1" x14ac:dyDescent="0.25">
      <c r="A37" s="6" t="s">
        <v>8</v>
      </c>
      <c r="B37" s="6" t="s">
        <v>10</v>
      </c>
      <c r="C37" s="19" t="s">
        <v>129</v>
      </c>
      <c r="D37" s="13" t="s">
        <v>131</v>
      </c>
      <c r="E37" s="14">
        <v>170</v>
      </c>
      <c r="F37" s="6" t="s">
        <v>47</v>
      </c>
      <c r="G37" s="42">
        <v>7.77</v>
      </c>
      <c r="H37" s="42">
        <v>4</v>
      </c>
      <c r="I37" s="38">
        <f t="shared" si="13"/>
        <v>11.77</v>
      </c>
      <c r="J37" s="39">
        <v>0.27779999999999999</v>
      </c>
      <c r="K37" s="40">
        <f t="shared" si="14"/>
        <v>1687.84602</v>
      </c>
      <c r="L37" s="40">
        <f t="shared" si="14"/>
        <v>868.904</v>
      </c>
      <c r="M37" s="40">
        <f t="shared" si="14"/>
        <v>2556.7500199999999</v>
      </c>
      <c r="O37" s="28"/>
      <c r="P37" s="28"/>
      <c r="Q37" s="34">
        <v>1</v>
      </c>
      <c r="R37" s="35">
        <f t="shared" si="15"/>
        <v>2556.7500199999999</v>
      </c>
      <c r="S37" s="28"/>
      <c r="T37" s="28"/>
      <c r="V37" s="29">
        <f t="shared" si="16"/>
        <v>1</v>
      </c>
      <c r="W37" s="8">
        <f t="shared" si="16"/>
        <v>2556.7500199999999</v>
      </c>
    </row>
    <row r="38" spans="1:23" ht="60" hidden="1" x14ac:dyDescent="0.25">
      <c r="A38" s="6" t="s">
        <v>8</v>
      </c>
      <c r="B38" s="6" t="s">
        <v>11</v>
      </c>
      <c r="C38" s="19" t="s">
        <v>132</v>
      </c>
      <c r="D38" s="13" t="s">
        <v>48</v>
      </c>
      <c r="E38" s="14">
        <v>266</v>
      </c>
      <c r="F38" s="6" t="s">
        <v>49</v>
      </c>
      <c r="G38" s="42">
        <f>7.59+21.79</f>
        <v>29.38</v>
      </c>
      <c r="H38" s="42">
        <v>17.29</v>
      </c>
      <c r="I38" s="38">
        <f t="shared" si="13"/>
        <v>46.67</v>
      </c>
      <c r="J38" s="39">
        <v>0.27779999999999999</v>
      </c>
      <c r="K38" s="40">
        <f t="shared" si="14"/>
        <v>9986.1092239999998</v>
      </c>
      <c r="L38" s="40">
        <f t="shared" si="14"/>
        <v>5876.7810919999993</v>
      </c>
      <c r="M38" s="40">
        <f t="shared" si="14"/>
        <v>15862.890316000003</v>
      </c>
      <c r="O38" s="28"/>
      <c r="P38" s="28"/>
      <c r="Q38" s="34">
        <v>1</v>
      </c>
      <c r="R38" s="35">
        <f t="shared" si="15"/>
        <v>15862.890316000003</v>
      </c>
      <c r="S38" s="28"/>
      <c r="T38" s="28"/>
      <c r="V38" s="29">
        <f t="shared" si="16"/>
        <v>1</v>
      </c>
      <c r="W38" s="8">
        <f t="shared" si="16"/>
        <v>15862.890316000003</v>
      </c>
    </row>
    <row r="39" spans="1:23" ht="30" hidden="1" x14ac:dyDescent="0.25">
      <c r="A39" s="6" t="s">
        <v>8</v>
      </c>
      <c r="B39" s="6" t="s">
        <v>12</v>
      </c>
      <c r="C39" s="19" t="s">
        <v>133</v>
      </c>
      <c r="D39" s="13" t="s">
        <v>50</v>
      </c>
      <c r="E39" s="14">
        <v>30.66</v>
      </c>
      <c r="F39" s="6" t="s">
        <v>51</v>
      </c>
      <c r="G39" s="42">
        <f>0.01+45.48+0.08</f>
        <v>45.569999999999993</v>
      </c>
      <c r="H39" s="42">
        <v>7.72</v>
      </c>
      <c r="I39" s="38">
        <f t="shared" si="13"/>
        <v>53.289999999999992</v>
      </c>
      <c r="J39" s="39">
        <v>0.27779999999999999</v>
      </c>
      <c r="K39" s="40">
        <f t="shared" si="14"/>
        <v>1785.3117483599999</v>
      </c>
      <c r="L39" s="40">
        <f t="shared" si="14"/>
        <v>302.44912656000002</v>
      </c>
      <c r="M39" s="40">
        <f t="shared" si="14"/>
        <v>2087.7608749199999</v>
      </c>
      <c r="O39" s="28"/>
      <c r="P39" s="28"/>
      <c r="Q39" s="34">
        <v>1</v>
      </c>
      <c r="R39" s="35">
        <f t="shared" si="15"/>
        <v>2087.7608749199999</v>
      </c>
      <c r="S39" s="28"/>
      <c r="T39" s="28"/>
      <c r="V39" s="29">
        <f t="shared" si="16"/>
        <v>1</v>
      </c>
      <c r="W39" s="8">
        <f t="shared" si="16"/>
        <v>2087.7608749199999</v>
      </c>
    </row>
    <row r="40" spans="1:23" ht="45" hidden="1" x14ac:dyDescent="0.25">
      <c r="A40" s="6" t="s">
        <v>8</v>
      </c>
      <c r="B40" s="6" t="s">
        <v>13</v>
      </c>
      <c r="C40" s="19" t="s">
        <v>134</v>
      </c>
      <c r="D40" s="13" t="s">
        <v>52</v>
      </c>
      <c r="E40" s="14">
        <v>5.6</v>
      </c>
      <c r="F40" s="6" t="s">
        <v>53</v>
      </c>
      <c r="G40" s="42">
        <f>0.51+259.69+0.49</f>
        <v>260.69</v>
      </c>
      <c r="H40" s="42">
        <v>42.16</v>
      </c>
      <c r="I40" s="38">
        <f t="shared" si="13"/>
        <v>302.85000000000002</v>
      </c>
      <c r="J40" s="39">
        <v>0.27779999999999999</v>
      </c>
      <c r="K40" s="40">
        <f t="shared" si="14"/>
        <v>1865.4142191999997</v>
      </c>
      <c r="L40" s="40">
        <f t="shared" si="14"/>
        <v>301.68346879999996</v>
      </c>
      <c r="M40" s="40">
        <f t="shared" si="14"/>
        <v>2167.0976880000003</v>
      </c>
      <c r="O40" s="28"/>
      <c r="P40" s="28"/>
      <c r="Q40" s="34">
        <v>1</v>
      </c>
      <c r="R40" s="35">
        <f t="shared" si="15"/>
        <v>2167.0976880000003</v>
      </c>
      <c r="S40" s="28"/>
      <c r="T40" s="28"/>
      <c r="V40" s="29">
        <f t="shared" si="16"/>
        <v>1</v>
      </c>
      <c r="W40" s="8">
        <f t="shared" si="16"/>
        <v>2167.0976880000003</v>
      </c>
    </row>
    <row r="41" spans="1:23" ht="30" hidden="1" x14ac:dyDescent="0.25">
      <c r="A41" s="6" t="s">
        <v>8</v>
      </c>
      <c r="B41" s="6" t="s">
        <v>54</v>
      </c>
      <c r="C41" s="19" t="s">
        <v>135</v>
      </c>
      <c r="D41" s="13" t="s">
        <v>55</v>
      </c>
      <c r="E41" s="14">
        <v>5.6</v>
      </c>
      <c r="F41" s="6" t="s">
        <v>53</v>
      </c>
      <c r="G41" s="42">
        <f>0.44+25.29+0.19</f>
        <v>25.92</v>
      </c>
      <c r="H41" s="42">
        <f>61.28</f>
        <v>61.28</v>
      </c>
      <c r="I41" s="38">
        <f t="shared" si="13"/>
        <v>87.2</v>
      </c>
      <c r="J41" s="39">
        <v>0.27779999999999999</v>
      </c>
      <c r="K41" s="40">
        <f t="shared" si="14"/>
        <v>185.47522559999999</v>
      </c>
      <c r="L41" s="40">
        <f t="shared" si="14"/>
        <v>438.50007040000003</v>
      </c>
      <c r="M41" s="40">
        <f t="shared" si="14"/>
        <v>623.97529599999996</v>
      </c>
      <c r="O41" s="28"/>
      <c r="P41" s="28"/>
      <c r="Q41" s="34">
        <v>1</v>
      </c>
      <c r="R41" s="35">
        <f t="shared" si="15"/>
        <v>623.97529599999996</v>
      </c>
      <c r="S41" s="28"/>
      <c r="T41" s="28"/>
      <c r="V41" s="29">
        <f t="shared" si="16"/>
        <v>1</v>
      </c>
      <c r="W41" s="8">
        <f t="shared" si="16"/>
        <v>623.97529599999996</v>
      </c>
    </row>
    <row r="42" spans="1:23" ht="30" hidden="1" x14ac:dyDescent="0.25">
      <c r="A42" s="6" t="s">
        <v>8</v>
      </c>
      <c r="B42" s="6" t="s">
        <v>56</v>
      </c>
      <c r="C42" s="19" t="s">
        <v>136</v>
      </c>
      <c r="D42" s="13" t="s">
        <v>57</v>
      </c>
      <c r="E42" s="14">
        <v>6.3</v>
      </c>
      <c r="F42" s="6" t="s">
        <v>53</v>
      </c>
      <c r="G42" s="42">
        <f>0.2+17.41</f>
        <v>17.61</v>
      </c>
      <c r="H42" s="42">
        <v>42.44</v>
      </c>
      <c r="I42" s="38">
        <f t="shared" si="13"/>
        <v>60.05</v>
      </c>
      <c r="J42" s="39">
        <v>0.27779999999999999</v>
      </c>
      <c r="K42" s="40">
        <f t="shared" si="14"/>
        <v>141.76296540000001</v>
      </c>
      <c r="L42" s="40">
        <f t="shared" si="14"/>
        <v>341.64794159999997</v>
      </c>
      <c r="M42" s="40">
        <f t="shared" si="14"/>
        <v>483.41090700000001</v>
      </c>
      <c r="O42" s="28"/>
      <c r="P42" s="28"/>
      <c r="Q42" s="34">
        <v>1</v>
      </c>
      <c r="R42" s="35">
        <f t="shared" si="15"/>
        <v>483.41090700000001</v>
      </c>
      <c r="S42" s="28"/>
      <c r="T42" s="28"/>
      <c r="V42" s="29">
        <f t="shared" si="16"/>
        <v>1</v>
      </c>
      <c r="W42" s="8">
        <f t="shared" si="16"/>
        <v>483.41090700000001</v>
      </c>
    </row>
    <row r="43" spans="1:23" x14ac:dyDescent="0.25">
      <c r="I43" s="32" t="s">
        <v>40</v>
      </c>
      <c r="J43" s="32"/>
      <c r="K43" s="33">
        <f t="shared" ref="K43:L43" si="17">SUM(K36:K42)</f>
        <v>19555.117949759999</v>
      </c>
      <c r="L43" s="33">
        <f t="shared" si="17"/>
        <v>8954.8970235199995</v>
      </c>
      <c r="M43" s="33">
        <f>SUM(M36:M42)</f>
        <v>28510.014973280006</v>
      </c>
      <c r="P43" s="33">
        <f>SUM(P36:P42)</f>
        <v>0</v>
      </c>
      <c r="R43" s="33">
        <f>SUM(R36:R42)</f>
        <v>28510.014973280006</v>
      </c>
      <c r="T43" s="33">
        <f>SUM(T36:T42)</f>
        <v>0</v>
      </c>
    </row>
    <row r="44" spans="1:23" ht="15.75" thickBot="1" x14ac:dyDescent="0.3"/>
    <row r="45" spans="1:23" x14ac:dyDescent="0.25">
      <c r="A45" s="90" t="s">
        <v>58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1"/>
      <c r="O45" s="90"/>
      <c r="P45" s="90"/>
      <c r="Q45" s="90"/>
      <c r="R45" s="90"/>
      <c r="S45" s="90"/>
      <c r="T45" s="90"/>
    </row>
    <row r="46" spans="1:23" hidden="1" x14ac:dyDescent="0.25">
      <c r="A46" s="10" t="s">
        <v>2</v>
      </c>
      <c r="B46" s="11" t="s">
        <v>3</v>
      </c>
      <c r="C46" s="11" t="s">
        <v>4</v>
      </c>
      <c r="D46" s="12" t="s">
        <v>5</v>
      </c>
      <c r="E46" s="4" t="s">
        <v>6</v>
      </c>
      <c r="F46" s="3" t="s">
        <v>7</v>
      </c>
      <c r="G46" s="3" t="s">
        <v>33</v>
      </c>
      <c r="H46" s="3" t="s">
        <v>34</v>
      </c>
      <c r="I46" s="5" t="s">
        <v>35</v>
      </c>
      <c r="J46" s="5" t="s">
        <v>36</v>
      </c>
      <c r="K46" s="3" t="s">
        <v>37</v>
      </c>
      <c r="L46" s="3" t="s">
        <v>38</v>
      </c>
      <c r="M46" s="5" t="s">
        <v>39</v>
      </c>
    </row>
    <row r="47" spans="1:23" ht="30" hidden="1" x14ac:dyDescent="0.25">
      <c r="A47" s="45" t="s">
        <v>59</v>
      </c>
      <c r="B47" s="45" t="s">
        <v>60</v>
      </c>
      <c r="C47" s="46" t="s">
        <v>61</v>
      </c>
      <c r="D47" s="13" t="s">
        <v>209</v>
      </c>
      <c r="E47" s="14">
        <v>18787.330000000002</v>
      </c>
      <c r="F47" s="6" t="s">
        <v>47</v>
      </c>
      <c r="G47" s="42">
        <v>8.5519199999999991</v>
      </c>
      <c r="H47" s="42">
        <v>6.7226999999999997</v>
      </c>
      <c r="I47" s="38">
        <f t="shared" ref="I47:I51" si="18">G47+H47</f>
        <v>15.274619999999999</v>
      </c>
      <c r="J47" s="39">
        <v>0.27779999999999999</v>
      </c>
      <c r="K47" s="40">
        <f t="shared" ref="K47:M51" si="19">$E47*G47*(1+$J47)</f>
        <v>205301.24222722609</v>
      </c>
      <c r="L47" s="40">
        <f t="shared" si="19"/>
        <v>161388.16325701983</v>
      </c>
      <c r="M47" s="40">
        <f t="shared" si="19"/>
        <v>366689.40548424586</v>
      </c>
      <c r="O47" s="28"/>
      <c r="P47" s="28"/>
      <c r="Q47" s="34">
        <v>0.3</v>
      </c>
      <c r="R47" s="35">
        <f>Q47*$M47</f>
        <v>110006.82164527375</v>
      </c>
      <c r="S47" s="34">
        <v>0.7</v>
      </c>
      <c r="T47" s="35">
        <f>S47*$M47</f>
        <v>256682.58383897209</v>
      </c>
      <c r="V47" s="29">
        <f t="shared" ref="V47:W51" si="20">O47+Q47+S47</f>
        <v>1</v>
      </c>
      <c r="W47" s="8">
        <f t="shared" si="20"/>
        <v>366689.40548424586</v>
      </c>
    </row>
    <row r="48" spans="1:23" ht="30" hidden="1" x14ac:dyDescent="0.25">
      <c r="A48" s="6" t="s">
        <v>8</v>
      </c>
      <c r="B48" s="6" t="s">
        <v>62</v>
      </c>
      <c r="C48" s="19" t="s">
        <v>137</v>
      </c>
      <c r="D48" s="13" t="s">
        <v>63</v>
      </c>
      <c r="E48" s="14">
        <v>430</v>
      </c>
      <c r="F48" s="6" t="s">
        <v>51</v>
      </c>
      <c r="G48" s="42">
        <f>0.01+8.33</f>
        <v>8.34</v>
      </c>
      <c r="H48" s="42">
        <v>7.68</v>
      </c>
      <c r="I48" s="38">
        <f t="shared" si="18"/>
        <v>16.02</v>
      </c>
      <c r="J48" s="39">
        <v>0.27779999999999999</v>
      </c>
      <c r="K48" s="40">
        <f t="shared" si="19"/>
        <v>4582.4463599999999</v>
      </c>
      <c r="L48" s="40">
        <f t="shared" si="19"/>
        <v>4219.8067200000005</v>
      </c>
      <c r="M48" s="40">
        <f t="shared" si="19"/>
        <v>8802.2530800000004</v>
      </c>
      <c r="O48" s="28"/>
      <c r="P48" s="28"/>
      <c r="Q48" s="28"/>
      <c r="R48" s="28"/>
      <c r="S48" s="34">
        <v>1</v>
      </c>
      <c r="T48" s="35">
        <f t="shared" ref="T48:T51" si="21">S48*$M48</f>
        <v>8802.2530800000004</v>
      </c>
      <c r="V48" s="29">
        <f t="shared" si="20"/>
        <v>1</v>
      </c>
      <c r="W48" s="8">
        <f t="shared" si="20"/>
        <v>8802.2530800000004</v>
      </c>
    </row>
    <row r="49" spans="1:23" ht="30" hidden="1" x14ac:dyDescent="0.25">
      <c r="A49" s="6" t="s">
        <v>8</v>
      </c>
      <c r="B49" s="6" t="s">
        <v>64</v>
      </c>
      <c r="C49" s="19" t="s">
        <v>138</v>
      </c>
      <c r="D49" s="13" t="s">
        <v>65</v>
      </c>
      <c r="E49" s="14">
        <v>430</v>
      </c>
      <c r="F49" s="6" t="s">
        <v>51</v>
      </c>
      <c r="G49" s="42">
        <f>0.04+10.62</f>
        <v>10.659999999999998</v>
      </c>
      <c r="H49" s="42">
        <v>10.69</v>
      </c>
      <c r="I49" s="38">
        <f t="shared" si="18"/>
        <v>21.349999999999998</v>
      </c>
      <c r="J49" s="39">
        <v>0.27779999999999999</v>
      </c>
      <c r="K49" s="40">
        <f t="shared" si="19"/>
        <v>5857.1796399999994</v>
      </c>
      <c r="L49" s="40">
        <f t="shared" si="19"/>
        <v>5873.6632600000003</v>
      </c>
      <c r="M49" s="40">
        <f t="shared" si="19"/>
        <v>11730.842899999998</v>
      </c>
      <c r="O49" s="28"/>
      <c r="P49" s="28"/>
      <c r="Q49" s="28"/>
      <c r="R49" s="28"/>
      <c r="S49" s="34">
        <v>1</v>
      </c>
      <c r="T49" s="35">
        <f t="shared" si="21"/>
        <v>11730.842899999998</v>
      </c>
      <c r="V49" s="29">
        <f t="shared" si="20"/>
        <v>1</v>
      </c>
      <c r="W49" s="8">
        <f t="shared" si="20"/>
        <v>11730.842899999998</v>
      </c>
    </row>
    <row r="50" spans="1:23" ht="45" hidden="1" x14ac:dyDescent="0.25">
      <c r="A50" s="6" t="s">
        <v>8</v>
      </c>
      <c r="B50" s="6" t="s">
        <v>140</v>
      </c>
      <c r="C50" s="19" t="s">
        <v>139</v>
      </c>
      <c r="D50" s="13" t="s">
        <v>66</v>
      </c>
      <c r="E50" s="14">
        <v>40</v>
      </c>
      <c r="F50" s="6" t="s">
        <v>67</v>
      </c>
      <c r="G50" s="42">
        <v>117.13</v>
      </c>
      <c r="H50" s="42">
        <v>0</v>
      </c>
      <c r="I50" s="38">
        <f t="shared" si="18"/>
        <v>117.13</v>
      </c>
      <c r="J50" s="39">
        <v>0.27779999999999999</v>
      </c>
      <c r="K50" s="40">
        <f t="shared" si="19"/>
        <v>5986.74856</v>
      </c>
      <c r="L50" s="40">
        <f t="shared" si="19"/>
        <v>0</v>
      </c>
      <c r="M50" s="40">
        <f t="shared" si="19"/>
        <v>5986.74856</v>
      </c>
      <c r="O50" s="28"/>
      <c r="P50" s="28"/>
      <c r="Q50" s="28"/>
      <c r="R50" s="28"/>
      <c r="S50" s="34">
        <v>1</v>
      </c>
      <c r="T50" s="35">
        <f t="shared" si="21"/>
        <v>5986.74856</v>
      </c>
      <c r="V50" s="29">
        <f t="shared" si="20"/>
        <v>1</v>
      </c>
      <c r="W50" s="8">
        <f t="shared" si="20"/>
        <v>5986.74856</v>
      </c>
    </row>
    <row r="51" spans="1:23" ht="30" hidden="1" x14ac:dyDescent="0.25">
      <c r="A51" s="43" t="s">
        <v>8</v>
      </c>
      <c r="B51" s="43" t="s">
        <v>141</v>
      </c>
      <c r="C51" s="44" t="s">
        <v>142</v>
      </c>
      <c r="D51" s="13" t="s">
        <v>143</v>
      </c>
      <c r="E51" s="14">
        <v>40</v>
      </c>
      <c r="F51" s="6" t="s">
        <v>67</v>
      </c>
      <c r="G51" s="42">
        <v>3.76</v>
      </c>
      <c r="H51" s="42">
        <v>17.82</v>
      </c>
      <c r="I51" s="38">
        <f t="shared" si="18"/>
        <v>21.58</v>
      </c>
      <c r="J51" s="39">
        <v>0.27779999999999999</v>
      </c>
      <c r="K51" s="40">
        <f t="shared" si="19"/>
        <v>192.18111999999996</v>
      </c>
      <c r="L51" s="40">
        <f t="shared" si="19"/>
        <v>910.81583999999998</v>
      </c>
      <c r="M51" s="40">
        <f t="shared" si="19"/>
        <v>1102.9969599999999</v>
      </c>
      <c r="O51" s="28"/>
      <c r="P51" s="28"/>
      <c r="Q51" s="28"/>
      <c r="R51" s="28"/>
      <c r="S51" s="34">
        <v>1</v>
      </c>
      <c r="T51" s="35">
        <f t="shared" si="21"/>
        <v>1102.9969599999999</v>
      </c>
      <c r="V51" s="29">
        <f t="shared" si="20"/>
        <v>1</v>
      </c>
      <c r="W51" s="8">
        <f t="shared" si="20"/>
        <v>1102.9969599999999</v>
      </c>
    </row>
    <row r="52" spans="1:23" x14ac:dyDescent="0.25">
      <c r="I52" s="32" t="s">
        <v>40</v>
      </c>
      <c r="J52" s="32"/>
      <c r="K52" s="33">
        <f t="shared" ref="K52:L52" si="22">SUM(K47:K51)</f>
        <v>221919.79790722608</v>
      </c>
      <c r="L52" s="33">
        <f t="shared" si="22"/>
        <v>172392.44907701982</v>
      </c>
      <c r="M52" s="33">
        <f>SUM(M47:M51)</f>
        <v>394312.24698424584</v>
      </c>
      <c r="P52" s="33">
        <f>SUM(P47:P51)</f>
        <v>0</v>
      </c>
      <c r="R52" s="33">
        <f>SUM(R47:R51)</f>
        <v>110006.82164527375</v>
      </c>
      <c r="T52" s="33">
        <f>SUM(T47:T51)</f>
        <v>284305.42533897207</v>
      </c>
    </row>
    <row r="53" spans="1:23" ht="15.75" thickBot="1" x14ac:dyDescent="0.3"/>
    <row r="54" spans="1:23" x14ac:dyDescent="0.25">
      <c r="A54" s="90" t="s">
        <v>68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1"/>
      <c r="O54" s="90"/>
      <c r="P54" s="90"/>
      <c r="Q54" s="90"/>
      <c r="R54" s="90"/>
      <c r="S54" s="90"/>
      <c r="T54" s="90"/>
    </row>
    <row r="55" spans="1:23" hidden="1" x14ac:dyDescent="0.25">
      <c r="A55" s="10" t="s">
        <v>2</v>
      </c>
      <c r="B55" s="11" t="s">
        <v>3</v>
      </c>
      <c r="C55" s="11" t="s">
        <v>4</v>
      </c>
      <c r="D55" s="12" t="s">
        <v>5</v>
      </c>
      <c r="E55" s="4" t="s">
        <v>6</v>
      </c>
      <c r="F55" s="3" t="s">
        <v>7</v>
      </c>
      <c r="G55" s="3" t="s">
        <v>33</v>
      </c>
      <c r="H55" s="3" t="s">
        <v>34</v>
      </c>
      <c r="I55" s="5" t="s">
        <v>35</v>
      </c>
      <c r="J55" s="5" t="s">
        <v>36</v>
      </c>
      <c r="K55" s="3" t="s">
        <v>37</v>
      </c>
      <c r="L55" s="3" t="s">
        <v>38</v>
      </c>
      <c r="M55" s="5" t="s">
        <v>39</v>
      </c>
    </row>
    <row r="56" spans="1:23" ht="30" hidden="1" x14ac:dyDescent="0.25">
      <c r="A56" s="6" t="s">
        <v>8</v>
      </c>
      <c r="B56" s="6" t="s">
        <v>69</v>
      </c>
      <c r="C56" s="19" t="s">
        <v>144</v>
      </c>
      <c r="D56" s="13" t="s">
        <v>70</v>
      </c>
      <c r="E56" s="14">
        <v>47.76</v>
      </c>
      <c r="F56" s="6" t="s">
        <v>51</v>
      </c>
      <c r="G56" s="42">
        <f>0.04+49.19</f>
        <v>49.23</v>
      </c>
      <c r="H56" s="42">
        <v>2.38</v>
      </c>
      <c r="I56" s="38">
        <f t="shared" ref="I56:I68" si="23">G56+H56</f>
        <v>51.61</v>
      </c>
      <c r="J56" s="39">
        <v>0.27779999999999999</v>
      </c>
      <c r="K56" s="40">
        <f t="shared" ref="K56:M68" si="24">$E56*G56*(1+$J56)</f>
        <v>3004.3950494400001</v>
      </c>
      <c r="L56" s="40">
        <f t="shared" si="24"/>
        <v>145.24599264</v>
      </c>
      <c r="M56" s="40">
        <f t="shared" si="24"/>
        <v>3149.6410420799998</v>
      </c>
      <c r="O56" s="28"/>
      <c r="P56" s="28"/>
      <c r="Q56" s="28"/>
      <c r="R56" s="28"/>
      <c r="S56" s="34">
        <v>1</v>
      </c>
      <c r="T56" s="35">
        <f t="shared" ref="T56:T63" si="25">S56*$M56</f>
        <v>3149.6410420799998</v>
      </c>
      <c r="V56" s="29">
        <f t="shared" ref="V56:W68" si="26">O56+Q56+S56</f>
        <v>1</v>
      </c>
      <c r="W56" s="8">
        <f t="shared" si="26"/>
        <v>3149.6410420799998</v>
      </c>
    </row>
    <row r="57" spans="1:23" hidden="1" x14ac:dyDescent="0.25">
      <c r="A57" s="6" t="s">
        <v>8</v>
      </c>
      <c r="B57" s="6" t="s">
        <v>71</v>
      </c>
      <c r="C57" s="19" t="s">
        <v>145</v>
      </c>
      <c r="D57" s="13" t="s">
        <v>72</v>
      </c>
      <c r="E57" s="14">
        <v>47.76</v>
      </c>
      <c r="F57" s="6" t="s">
        <v>51</v>
      </c>
      <c r="G57" s="42">
        <v>12.72</v>
      </c>
      <c r="H57" s="42">
        <v>2.31</v>
      </c>
      <c r="I57" s="38">
        <f t="shared" si="23"/>
        <v>15.030000000000001</v>
      </c>
      <c r="J57" s="39">
        <v>0.27779999999999999</v>
      </c>
      <c r="K57" s="40">
        <f t="shared" si="24"/>
        <v>776.27270016</v>
      </c>
      <c r="L57" s="40">
        <f t="shared" si="24"/>
        <v>140.97405168</v>
      </c>
      <c r="M57" s="40">
        <f t="shared" si="24"/>
        <v>917.24675184000012</v>
      </c>
      <c r="O57" s="28"/>
      <c r="P57" s="28"/>
      <c r="Q57" s="28"/>
      <c r="R57" s="28"/>
      <c r="S57" s="34">
        <v>1</v>
      </c>
      <c r="T57" s="35">
        <f t="shared" si="25"/>
        <v>917.24675184000012</v>
      </c>
      <c r="V57" s="29">
        <f t="shared" si="26"/>
        <v>1</v>
      </c>
      <c r="W57" s="8">
        <f t="shared" si="26"/>
        <v>917.24675184000012</v>
      </c>
    </row>
    <row r="58" spans="1:23" ht="45" hidden="1" x14ac:dyDescent="0.25">
      <c r="A58" s="6" t="s">
        <v>8</v>
      </c>
      <c r="B58" s="6" t="s">
        <v>73</v>
      </c>
      <c r="C58" s="19" t="s">
        <v>146</v>
      </c>
      <c r="D58" s="13" t="s">
        <v>74</v>
      </c>
      <c r="E58" s="14">
        <v>47.76</v>
      </c>
      <c r="F58" s="6" t="s">
        <v>51</v>
      </c>
      <c r="G58" s="42">
        <f>0.12+45.4</f>
        <v>45.519999999999996</v>
      </c>
      <c r="H58" s="42">
        <v>5.62</v>
      </c>
      <c r="I58" s="38">
        <f t="shared" si="23"/>
        <v>51.139999999999993</v>
      </c>
      <c r="J58" s="39">
        <v>0.27779999999999999</v>
      </c>
      <c r="K58" s="40">
        <f t="shared" si="24"/>
        <v>2777.9821785599997</v>
      </c>
      <c r="L58" s="40">
        <f t="shared" si="24"/>
        <v>342.97583136000003</v>
      </c>
      <c r="M58" s="40">
        <f t="shared" si="24"/>
        <v>3120.9580099199998</v>
      </c>
      <c r="O58" s="28"/>
      <c r="P58" s="28"/>
      <c r="Q58" s="28"/>
      <c r="R58" s="28"/>
      <c r="S58" s="34">
        <v>1</v>
      </c>
      <c r="T58" s="35">
        <f t="shared" si="25"/>
        <v>3120.9580099199998</v>
      </c>
      <c r="V58" s="29">
        <f t="shared" si="26"/>
        <v>1</v>
      </c>
      <c r="W58" s="8">
        <f t="shared" si="26"/>
        <v>3120.9580099199998</v>
      </c>
    </row>
    <row r="59" spans="1:23" hidden="1" x14ac:dyDescent="0.25">
      <c r="A59" s="6" t="s">
        <v>8</v>
      </c>
      <c r="B59" s="6" t="s">
        <v>75</v>
      </c>
      <c r="C59" s="19" t="s">
        <v>147</v>
      </c>
      <c r="D59" s="13" t="s">
        <v>76</v>
      </c>
      <c r="E59" s="14">
        <v>76.5</v>
      </c>
      <c r="F59" s="6" t="s">
        <v>51</v>
      </c>
      <c r="G59" s="42">
        <v>4.26</v>
      </c>
      <c r="H59" s="42">
        <v>1.91</v>
      </c>
      <c r="I59" s="38">
        <f t="shared" si="23"/>
        <v>6.17</v>
      </c>
      <c r="J59" s="39">
        <v>0.27779999999999999</v>
      </c>
      <c r="K59" s="40">
        <f t="shared" si="24"/>
        <v>416.42224199999998</v>
      </c>
      <c r="L59" s="40">
        <f t="shared" si="24"/>
        <v>186.70574699999997</v>
      </c>
      <c r="M59" s="40">
        <f t="shared" si="24"/>
        <v>603.12798900000007</v>
      </c>
      <c r="O59" s="28"/>
      <c r="P59" s="28"/>
      <c r="Q59" s="28"/>
      <c r="R59" s="28"/>
      <c r="S59" s="34">
        <v>1</v>
      </c>
      <c r="T59" s="35">
        <f t="shared" si="25"/>
        <v>603.12798900000007</v>
      </c>
      <c r="V59" s="29">
        <f t="shared" si="26"/>
        <v>1</v>
      </c>
      <c r="W59" s="8">
        <f t="shared" si="26"/>
        <v>603.12798900000007</v>
      </c>
    </row>
    <row r="60" spans="1:23" ht="30" hidden="1" x14ac:dyDescent="0.25">
      <c r="A60" s="6" t="s">
        <v>8</v>
      </c>
      <c r="B60" s="6" t="s">
        <v>77</v>
      </c>
      <c r="C60" s="19" t="s">
        <v>167</v>
      </c>
      <c r="D60" s="13" t="s">
        <v>78</v>
      </c>
      <c r="E60" s="14">
        <v>48.5</v>
      </c>
      <c r="F60" s="6" t="s">
        <v>51</v>
      </c>
      <c r="G60" s="42">
        <f>0.24+26.08</f>
        <v>26.319999999999997</v>
      </c>
      <c r="H60" s="42">
        <v>0.4</v>
      </c>
      <c r="I60" s="38">
        <f t="shared" si="23"/>
        <v>26.719999999999995</v>
      </c>
      <c r="J60" s="39">
        <v>0.27779999999999999</v>
      </c>
      <c r="K60" s="40">
        <f t="shared" si="24"/>
        <v>1631.1372559999998</v>
      </c>
      <c r="L60" s="40">
        <f t="shared" si="24"/>
        <v>24.789320000000004</v>
      </c>
      <c r="M60" s="40">
        <f t="shared" si="24"/>
        <v>1655.9265759999998</v>
      </c>
      <c r="O60" s="28"/>
      <c r="P60" s="28"/>
      <c r="Q60" s="28"/>
      <c r="R60" s="28"/>
      <c r="S60" s="34">
        <v>1</v>
      </c>
      <c r="T60" s="35">
        <f t="shared" si="25"/>
        <v>1655.9265759999998</v>
      </c>
      <c r="V60" s="29">
        <f t="shared" si="26"/>
        <v>1</v>
      </c>
      <c r="W60" s="8">
        <f t="shared" si="26"/>
        <v>1655.9265759999998</v>
      </c>
    </row>
    <row r="61" spans="1:23" ht="30" hidden="1" x14ac:dyDescent="0.25">
      <c r="A61" s="78" t="s">
        <v>207</v>
      </c>
      <c r="B61" s="45" t="s">
        <v>79</v>
      </c>
      <c r="C61" s="46" t="s">
        <v>168</v>
      </c>
      <c r="D61" s="13" t="s">
        <v>80</v>
      </c>
      <c r="E61" s="27">
        <v>65</v>
      </c>
      <c r="F61" s="6" t="s">
        <v>122</v>
      </c>
      <c r="G61" s="42">
        <v>25.650400000000001</v>
      </c>
      <c r="H61" s="42">
        <v>2.9723999999999999</v>
      </c>
      <c r="I61" s="38">
        <f t="shared" si="23"/>
        <v>28.622800000000002</v>
      </c>
      <c r="J61" s="39">
        <v>0.27779999999999999</v>
      </c>
      <c r="K61" s="40">
        <f t="shared" si="24"/>
        <v>2130.4452728000001</v>
      </c>
      <c r="L61" s="40">
        <f t="shared" si="24"/>
        <v>246.87862680000001</v>
      </c>
      <c r="M61" s="40">
        <f t="shared" si="24"/>
        <v>2377.3238996000005</v>
      </c>
      <c r="O61" s="28"/>
      <c r="P61" s="28"/>
      <c r="Q61" s="28"/>
      <c r="R61" s="28"/>
      <c r="S61" s="34">
        <v>1</v>
      </c>
      <c r="T61" s="35">
        <f t="shared" si="25"/>
        <v>2377.3238996000005</v>
      </c>
      <c r="V61" s="29">
        <f t="shared" si="26"/>
        <v>1</v>
      </c>
      <c r="W61" s="8">
        <f t="shared" si="26"/>
        <v>2377.3238996000005</v>
      </c>
    </row>
    <row r="62" spans="1:23" ht="30" hidden="1" x14ac:dyDescent="0.25">
      <c r="A62" s="6" t="s">
        <v>8</v>
      </c>
      <c r="B62" s="6" t="s">
        <v>81</v>
      </c>
      <c r="C62" s="19" t="s">
        <v>148</v>
      </c>
      <c r="D62" s="13" t="s">
        <v>82</v>
      </c>
      <c r="E62" s="14">
        <v>5</v>
      </c>
      <c r="F62" s="6" t="s">
        <v>122</v>
      </c>
      <c r="G62" s="42">
        <f>0.01+81.42</f>
        <v>81.430000000000007</v>
      </c>
      <c r="H62" s="42">
        <v>3.64</v>
      </c>
      <c r="I62" s="38">
        <f t="shared" si="23"/>
        <v>85.070000000000007</v>
      </c>
      <c r="J62" s="39">
        <v>0.27779999999999999</v>
      </c>
      <c r="K62" s="40">
        <f t="shared" si="24"/>
        <v>520.25627000000009</v>
      </c>
      <c r="L62" s="40">
        <f t="shared" si="24"/>
        <v>23.255959999999998</v>
      </c>
      <c r="M62" s="40">
        <f t="shared" si="24"/>
        <v>543.51223000000005</v>
      </c>
      <c r="O62" s="28"/>
      <c r="P62" s="28"/>
      <c r="Q62" s="28"/>
      <c r="R62" s="28"/>
      <c r="S62" s="34">
        <v>1</v>
      </c>
      <c r="T62" s="35">
        <f t="shared" si="25"/>
        <v>543.51223000000005</v>
      </c>
      <c r="V62" s="29">
        <f t="shared" si="26"/>
        <v>1</v>
      </c>
      <c r="W62" s="8">
        <f t="shared" si="26"/>
        <v>543.51223000000005</v>
      </c>
    </row>
    <row r="63" spans="1:23" ht="30" hidden="1" x14ac:dyDescent="0.25">
      <c r="A63" s="6" t="s">
        <v>8</v>
      </c>
      <c r="B63" s="6" t="s">
        <v>83</v>
      </c>
      <c r="C63" s="19" t="s">
        <v>149</v>
      </c>
      <c r="D63" s="13" t="s">
        <v>84</v>
      </c>
      <c r="E63" s="14">
        <v>20</v>
      </c>
      <c r="F63" s="6" t="s">
        <v>122</v>
      </c>
      <c r="G63" s="42">
        <f>0.03+46.27</f>
        <v>46.300000000000004</v>
      </c>
      <c r="H63" s="42">
        <v>8.75</v>
      </c>
      <c r="I63" s="38">
        <f t="shared" si="23"/>
        <v>55.050000000000004</v>
      </c>
      <c r="J63" s="39">
        <v>0.27779999999999999</v>
      </c>
      <c r="K63" s="40">
        <f t="shared" si="24"/>
        <v>1183.2428000000002</v>
      </c>
      <c r="L63" s="40">
        <f t="shared" si="24"/>
        <v>223.61500000000001</v>
      </c>
      <c r="M63" s="40">
        <f t="shared" si="24"/>
        <v>1406.8578</v>
      </c>
      <c r="O63" s="28"/>
      <c r="P63" s="28"/>
      <c r="Q63" s="28"/>
      <c r="R63" s="28"/>
      <c r="S63" s="34">
        <v>1</v>
      </c>
      <c r="T63" s="35">
        <f t="shared" si="25"/>
        <v>1406.8578</v>
      </c>
      <c r="V63" s="29">
        <f t="shared" si="26"/>
        <v>1</v>
      </c>
      <c r="W63" s="8">
        <f t="shared" si="26"/>
        <v>1406.8578</v>
      </c>
    </row>
    <row r="64" spans="1:23" ht="30" hidden="1" x14ac:dyDescent="0.25">
      <c r="A64" s="6" t="s">
        <v>8</v>
      </c>
      <c r="B64" s="6" t="s">
        <v>85</v>
      </c>
      <c r="C64" s="19" t="s">
        <v>150</v>
      </c>
      <c r="D64" s="13" t="s">
        <v>86</v>
      </c>
      <c r="E64" s="14">
        <v>2</v>
      </c>
      <c r="F64" s="6" t="s">
        <v>122</v>
      </c>
      <c r="G64" s="42">
        <f>0.14+12.62</f>
        <v>12.76</v>
      </c>
      <c r="H64" s="42">
        <v>32.22</v>
      </c>
      <c r="I64" s="38">
        <f t="shared" si="23"/>
        <v>44.98</v>
      </c>
      <c r="J64" s="39">
        <v>0.27779999999999999</v>
      </c>
      <c r="K64" s="40">
        <f t="shared" si="24"/>
        <v>32.609456000000002</v>
      </c>
      <c r="L64" s="40">
        <f t="shared" si="24"/>
        <v>82.341431999999998</v>
      </c>
      <c r="M64" s="40">
        <f t="shared" si="24"/>
        <v>114.95088799999999</v>
      </c>
      <c r="O64" s="34">
        <v>1</v>
      </c>
      <c r="P64" s="35">
        <f t="shared" ref="P64:P65" si="27">O64*$M64</f>
        <v>114.95088799999999</v>
      </c>
      <c r="Q64" s="28"/>
      <c r="R64" s="28"/>
      <c r="S64" s="28"/>
      <c r="T64" s="28"/>
      <c r="V64" s="29">
        <f t="shared" si="26"/>
        <v>1</v>
      </c>
      <c r="W64" s="8">
        <f t="shared" si="26"/>
        <v>114.95088799999999</v>
      </c>
    </row>
    <row r="65" spans="1:23" ht="45" hidden="1" x14ac:dyDescent="0.25">
      <c r="A65" s="6" t="s">
        <v>8</v>
      </c>
      <c r="B65" s="6" t="s">
        <v>87</v>
      </c>
      <c r="C65" s="19" t="s">
        <v>151</v>
      </c>
      <c r="D65" s="13" t="s">
        <v>88</v>
      </c>
      <c r="E65" s="14">
        <v>2</v>
      </c>
      <c r="F65" s="6" t="s">
        <v>122</v>
      </c>
      <c r="G65" s="42">
        <f>28.41+29.4</f>
        <v>57.81</v>
      </c>
      <c r="H65" s="42">
        <v>60.04</v>
      </c>
      <c r="I65" s="38">
        <f t="shared" si="23"/>
        <v>117.85</v>
      </c>
      <c r="J65" s="39">
        <v>0.27779999999999999</v>
      </c>
      <c r="K65" s="40">
        <f t="shared" si="24"/>
        <v>147.73923600000001</v>
      </c>
      <c r="L65" s="40">
        <f t="shared" si="24"/>
        <v>153.43822399999999</v>
      </c>
      <c r="M65" s="40">
        <f t="shared" si="24"/>
        <v>301.17746</v>
      </c>
      <c r="O65" s="34">
        <v>1</v>
      </c>
      <c r="P65" s="35">
        <f t="shared" si="27"/>
        <v>301.17746</v>
      </c>
      <c r="Q65" s="28"/>
      <c r="R65" s="28"/>
      <c r="S65" s="28"/>
      <c r="T65" s="28"/>
      <c r="V65" s="29">
        <f t="shared" si="26"/>
        <v>1</v>
      </c>
      <c r="W65" s="8">
        <f t="shared" si="26"/>
        <v>301.17746</v>
      </c>
    </row>
    <row r="66" spans="1:23" hidden="1" x14ac:dyDescent="0.25">
      <c r="A66" s="6" t="s">
        <v>8</v>
      </c>
      <c r="B66" s="6" t="s">
        <v>89</v>
      </c>
      <c r="C66" s="19" t="s">
        <v>152</v>
      </c>
      <c r="D66" s="13" t="s">
        <v>90</v>
      </c>
      <c r="E66" s="14">
        <v>20</v>
      </c>
      <c r="F66" s="6" t="s">
        <v>122</v>
      </c>
      <c r="G66" s="42">
        <f>0.1+64.4</f>
        <v>64.5</v>
      </c>
      <c r="H66" s="42">
        <v>26.5</v>
      </c>
      <c r="I66" s="38">
        <f t="shared" si="23"/>
        <v>91</v>
      </c>
      <c r="J66" s="39">
        <v>0.27779999999999999</v>
      </c>
      <c r="K66" s="40">
        <f t="shared" si="24"/>
        <v>1648.3620000000001</v>
      </c>
      <c r="L66" s="40">
        <f t="shared" si="24"/>
        <v>677.23400000000004</v>
      </c>
      <c r="M66" s="40">
        <f t="shared" si="24"/>
        <v>2325.596</v>
      </c>
      <c r="O66" s="28"/>
      <c r="P66" s="28"/>
      <c r="Q66" s="28"/>
      <c r="R66" s="28"/>
      <c r="S66" s="34">
        <v>1</v>
      </c>
      <c r="T66" s="35">
        <f t="shared" ref="T66:T68" si="28">S66*$M66</f>
        <v>2325.596</v>
      </c>
      <c r="V66" s="29">
        <f t="shared" si="26"/>
        <v>1</v>
      </c>
      <c r="W66" s="8">
        <f t="shared" si="26"/>
        <v>2325.596</v>
      </c>
    </row>
    <row r="67" spans="1:23" ht="45" hidden="1" x14ac:dyDescent="0.25">
      <c r="A67" s="6" t="s">
        <v>8</v>
      </c>
      <c r="B67" s="6" t="s">
        <v>91</v>
      </c>
      <c r="C67" s="19" t="s">
        <v>153</v>
      </c>
      <c r="D67" s="13" t="s">
        <v>92</v>
      </c>
      <c r="E67" s="14">
        <v>12</v>
      </c>
      <c r="F67" s="6" t="s">
        <v>49</v>
      </c>
      <c r="G67" s="42">
        <v>36.799999999999997</v>
      </c>
      <c r="H67" s="42">
        <v>3.75</v>
      </c>
      <c r="I67" s="38">
        <f t="shared" si="23"/>
        <v>40.549999999999997</v>
      </c>
      <c r="J67" s="39">
        <v>0.27779999999999999</v>
      </c>
      <c r="K67" s="40">
        <f t="shared" si="24"/>
        <v>564.27647999999999</v>
      </c>
      <c r="L67" s="40">
        <f t="shared" si="24"/>
        <v>57.501000000000005</v>
      </c>
      <c r="M67" s="40">
        <f t="shared" si="24"/>
        <v>621.77747999999997</v>
      </c>
      <c r="O67" s="28"/>
      <c r="P67" s="28"/>
      <c r="Q67" s="28"/>
      <c r="R67" s="28"/>
      <c r="S67" s="34">
        <v>1</v>
      </c>
      <c r="T67" s="35">
        <f t="shared" si="28"/>
        <v>621.77747999999997</v>
      </c>
      <c r="V67" s="29">
        <f t="shared" si="26"/>
        <v>1</v>
      </c>
      <c r="W67" s="8">
        <f t="shared" si="26"/>
        <v>621.77747999999997</v>
      </c>
    </row>
    <row r="68" spans="1:23" ht="45" hidden="1" x14ac:dyDescent="0.25">
      <c r="A68" s="6" t="s">
        <v>8</v>
      </c>
      <c r="B68" s="6" t="s">
        <v>91</v>
      </c>
      <c r="C68" s="19" t="s">
        <v>154</v>
      </c>
      <c r="D68" s="13" t="s">
        <v>93</v>
      </c>
      <c r="E68" s="14">
        <v>20</v>
      </c>
      <c r="F68" s="6" t="s">
        <v>49</v>
      </c>
      <c r="G68" s="42">
        <f>0.88+11.28</f>
        <v>12.16</v>
      </c>
      <c r="H68" s="42">
        <v>9.59</v>
      </c>
      <c r="I68" s="38">
        <f t="shared" si="23"/>
        <v>21.75</v>
      </c>
      <c r="J68" s="39">
        <v>0.27779999999999999</v>
      </c>
      <c r="K68" s="40">
        <f t="shared" si="24"/>
        <v>310.76096000000001</v>
      </c>
      <c r="L68" s="40">
        <f t="shared" si="24"/>
        <v>245.08204000000003</v>
      </c>
      <c r="M68" s="40">
        <f t="shared" si="24"/>
        <v>555.84300000000007</v>
      </c>
      <c r="O68" s="28"/>
      <c r="P68" s="28"/>
      <c r="Q68" s="28"/>
      <c r="R68" s="28"/>
      <c r="S68" s="34">
        <v>1</v>
      </c>
      <c r="T68" s="35">
        <f t="shared" si="28"/>
        <v>555.84300000000007</v>
      </c>
      <c r="V68" s="29">
        <f t="shared" si="26"/>
        <v>1</v>
      </c>
      <c r="W68" s="8">
        <f t="shared" si="26"/>
        <v>555.84300000000007</v>
      </c>
    </row>
    <row r="69" spans="1:23" x14ac:dyDescent="0.25">
      <c r="I69" s="32" t="s">
        <v>40</v>
      </c>
      <c r="J69" s="32"/>
      <c r="K69" s="33">
        <f t="shared" ref="K69:L69" si="29">SUM(K56:K68)</f>
        <v>15143.901900959998</v>
      </c>
      <c r="L69" s="33">
        <f t="shared" si="29"/>
        <v>2550.0372254800004</v>
      </c>
      <c r="M69" s="33">
        <f>SUM(M56:M68)</f>
        <v>17693.939126440004</v>
      </c>
      <c r="P69" s="33">
        <f>SUM(P56:P68)</f>
        <v>416.12834799999996</v>
      </c>
      <c r="R69" s="33">
        <f>SUM(R56:R68)</f>
        <v>0</v>
      </c>
      <c r="T69" s="33">
        <f>SUM(T56:T68)</f>
        <v>17277.810778440002</v>
      </c>
    </row>
    <row r="70" spans="1:23" ht="15.75" thickBot="1" x14ac:dyDescent="0.3"/>
    <row r="71" spans="1:23" ht="15.75" thickBot="1" x14ac:dyDescent="0.3">
      <c r="A71" s="95" t="s">
        <v>94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7"/>
    </row>
    <row r="72" spans="1:23" x14ac:dyDescent="0.25">
      <c r="A72" s="90" t="s">
        <v>95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1"/>
      <c r="O72" s="90"/>
      <c r="P72" s="90"/>
      <c r="Q72" s="90"/>
      <c r="R72" s="90"/>
      <c r="S72" s="90"/>
      <c r="T72" s="90"/>
    </row>
    <row r="73" spans="1:23" hidden="1" x14ac:dyDescent="0.25">
      <c r="A73" s="2" t="s">
        <v>2</v>
      </c>
      <c r="B73" s="3" t="s">
        <v>3</v>
      </c>
      <c r="C73" s="3" t="s">
        <v>4</v>
      </c>
      <c r="D73" s="3" t="s">
        <v>5</v>
      </c>
      <c r="E73" s="4" t="s">
        <v>6</v>
      </c>
      <c r="F73" s="3" t="s">
        <v>7</v>
      </c>
      <c r="G73" s="3" t="s">
        <v>33</v>
      </c>
      <c r="H73" s="3" t="s">
        <v>34</v>
      </c>
      <c r="I73" s="5" t="s">
        <v>35</v>
      </c>
      <c r="J73" s="5" t="s">
        <v>36</v>
      </c>
      <c r="K73" s="3" t="s">
        <v>37</v>
      </c>
      <c r="L73" s="3" t="s">
        <v>38</v>
      </c>
      <c r="M73" s="5" t="s">
        <v>39</v>
      </c>
    </row>
    <row r="74" spans="1:23" hidden="1" x14ac:dyDescent="0.25">
      <c r="A74" s="15" t="s">
        <v>16</v>
      </c>
      <c r="B74" s="15" t="s">
        <v>9</v>
      </c>
      <c r="C74" s="15" t="s">
        <v>17</v>
      </c>
      <c r="D74" s="16" t="s">
        <v>18</v>
      </c>
      <c r="E74" s="14">
        <v>1</v>
      </c>
      <c r="F74" s="7" t="s">
        <v>122</v>
      </c>
      <c r="G74" s="42">
        <v>218.54</v>
      </c>
      <c r="H74" s="42">
        <v>0</v>
      </c>
      <c r="I74" s="38">
        <f t="shared" ref="I74:I76" si="30">G74+H74</f>
        <v>218.54</v>
      </c>
      <c r="J74" s="39">
        <v>0.27779999999999999</v>
      </c>
      <c r="K74" s="40">
        <f t="shared" ref="K74:M76" si="31">$E74*G74*(1+$J74)</f>
        <v>279.25041199999998</v>
      </c>
      <c r="L74" s="40">
        <f t="shared" si="31"/>
        <v>0</v>
      </c>
      <c r="M74" s="40">
        <f t="shared" si="31"/>
        <v>279.25041199999998</v>
      </c>
      <c r="O74" s="34">
        <v>1</v>
      </c>
      <c r="P74" s="35">
        <f t="shared" ref="P74:P76" si="32">O74*$M74</f>
        <v>279.25041199999998</v>
      </c>
      <c r="Q74" s="28"/>
      <c r="R74" s="28"/>
      <c r="S74" s="28"/>
      <c r="T74" s="28"/>
      <c r="V74" s="29">
        <f t="shared" ref="V74:W76" si="33">O74+Q74+S74</f>
        <v>1</v>
      </c>
      <c r="W74" s="8">
        <f t="shared" si="33"/>
        <v>279.25041199999998</v>
      </c>
    </row>
    <row r="75" spans="1:23" ht="30" hidden="1" x14ac:dyDescent="0.25">
      <c r="A75" s="6" t="s">
        <v>8</v>
      </c>
      <c r="B75" s="18" t="s">
        <v>10</v>
      </c>
      <c r="C75" s="15" t="s">
        <v>120</v>
      </c>
      <c r="D75" s="16" t="s">
        <v>20</v>
      </c>
      <c r="E75" s="14">
        <v>20</v>
      </c>
      <c r="F75" s="7" t="s">
        <v>67</v>
      </c>
      <c r="G75" s="42">
        <v>0.4</v>
      </c>
      <c r="H75" s="42">
        <v>70.260000000000005</v>
      </c>
      <c r="I75" s="38">
        <f t="shared" si="30"/>
        <v>70.660000000000011</v>
      </c>
      <c r="J75" s="39">
        <v>0.27779999999999999</v>
      </c>
      <c r="K75" s="40">
        <f t="shared" si="31"/>
        <v>10.2224</v>
      </c>
      <c r="L75" s="40">
        <f t="shared" si="31"/>
        <v>1795.56456</v>
      </c>
      <c r="M75" s="40">
        <f t="shared" si="31"/>
        <v>1805.7869600000004</v>
      </c>
      <c r="O75" s="34">
        <v>0.8</v>
      </c>
      <c r="P75" s="35">
        <f t="shared" si="32"/>
        <v>1444.6295680000003</v>
      </c>
      <c r="Q75" s="28"/>
      <c r="R75" s="28"/>
      <c r="S75" s="34">
        <v>0.2</v>
      </c>
      <c r="T75" s="35">
        <f t="shared" ref="T75:T76" si="34">S75*$M75</f>
        <v>361.15739200000007</v>
      </c>
      <c r="V75" s="29">
        <f t="shared" si="33"/>
        <v>1</v>
      </c>
      <c r="W75" s="8">
        <f t="shared" si="33"/>
        <v>1805.7869600000004</v>
      </c>
    </row>
    <row r="76" spans="1:23" ht="30" hidden="1" x14ac:dyDescent="0.25">
      <c r="A76" s="6" t="s">
        <v>8</v>
      </c>
      <c r="B76" s="18" t="s">
        <v>11</v>
      </c>
      <c r="C76" s="15" t="s">
        <v>121</v>
      </c>
      <c r="D76" s="16" t="s">
        <v>21</v>
      </c>
      <c r="E76" s="14">
        <v>40</v>
      </c>
      <c r="F76" s="7" t="s">
        <v>67</v>
      </c>
      <c r="G76" s="42">
        <v>2.99</v>
      </c>
      <c r="H76" s="42">
        <v>19.010000000000002</v>
      </c>
      <c r="I76" s="38">
        <f t="shared" si="30"/>
        <v>22</v>
      </c>
      <c r="J76" s="39">
        <v>0.27779999999999999</v>
      </c>
      <c r="K76" s="40">
        <f t="shared" si="31"/>
        <v>152.82488000000001</v>
      </c>
      <c r="L76" s="40">
        <f t="shared" si="31"/>
        <v>971.63912000000016</v>
      </c>
      <c r="M76" s="40">
        <f t="shared" si="31"/>
        <v>1124.4639999999999</v>
      </c>
      <c r="O76" s="34">
        <v>0.8</v>
      </c>
      <c r="P76" s="35">
        <f t="shared" si="32"/>
        <v>899.57119999999998</v>
      </c>
      <c r="Q76" s="28"/>
      <c r="R76" s="28"/>
      <c r="S76" s="34">
        <v>0.2</v>
      </c>
      <c r="T76" s="35">
        <f t="shared" si="34"/>
        <v>224.89279999999999</v>
      </c>
      <c r="V76" s="29">
        <f t="shared" si="33"/>
        <v>1</v>
      </c>
      <c r="W76" s="8">
        <f t="shared" si="33"/>
        <v>1124.4639999999999</v>
      </c>
    </row>
    <row r="77" spans="1:23" x14ac:dyDescent="0.25">
      <c r="A77" s="20"/>
      <c r="B77" s="21"/>
      <c r="C77" s="37"/>
      <c r="D77" s="22"/>
      <c r="E77" s="23"/>
      <c r="F77" s="24"/>
      <c r="G77" s="24"/>
      <c r="H77" s="24"/>
      <c r="I77" s="32" t="s">
        <v>40</v>
      </c>
      <c r="J77" s="32"/>
      <c r="K77" s="33">
        <f t="shared" ref="K77:L77" si="35">SUM(K74:K76)</f>
        <v>442.29769199999998</v>
      </c>
      <c r="L77" s="33">
        <f t="shared" si="35"/>
        <v>2767.2036800000001</v>
      </c>
      <c r="M77" s="33">
        <f>SUM(M74:M76)</f>
        <v>3209.5013720000002</v>
      </c>
      <c r="P77" s="33">
        <f>SUM(P74:P76)</f>
        <v>2623.45118</v>
      </c>
      <c r="R77" s="33">
        <f>SUM(R74:R76)</f>
        <v>0</v>
      </c>
      <c r="T77" s="33">
        <f>SUM(T74:T76)</f>
        <v>586.05019200000004</v>
      </c>
    </row>
    <row r="78" spans="1:23" ht="15.75" thickBot="1" x14ac:dyDescent="0.3"/>
    <row r="79" spans="1:23" ht="15.75" thickBot="1" x14ac:dyDescent="0.3">
      <c r="A79" s="95" t="s">
        <v>96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7"/>
    </row>
    <row r="80" spans="1:23" x14ac:dyDescent="0.25">
      <c r="A80" s="90" t="s">
        <v>97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1"/>
      <c r="O80" s="90"/>
      <c r="P80" s="90"/>
      <c r="Q80" s="90"/>
      <c r="R80" s="90"/>
      <c r="S80" s="90"/>
      <c r="T80" s="90"/>
    </row>
    <row r="81" spans="1:23" hidden="1" x14ac:dyDescent="0.25">
      <c r="A81" s="10" t="s">
        <v>2</v>
      </c>
      <c r="B81" s="11" t="s">
        <v>3</v>
      </c>
      <c r="C81" s="11" t="s">
        <v>4</v>
      </c>
      <c r="D81" s="12" t="s">
        <v>5</v>
      </c>
      <c r="E81" s="4" t="s">
        <v>6</v>
      </c>
      <c r="F81" s="3" t="s">
        <v>7</v>
      </c>
      <c r="G81" s="3" t="s">
        <v>33</v>
      </c>
      <c r="H81" s="3" t="s">
        <v>34</v>
      </c>
      <c r="I81" s="5" t="s">
        <v>35</v>
      </c>
      <c r="J81" s="5" t="s">
        <v>36</v>
      </c>
      <c r="K81" s="3" t="s">
        <v>37</v>
      </c>
      <c r="L81" s="3" t="s">
        <v>38</v>
      </c>
      <c r="M81" s="5" t="s">
        <v>39</v>
      </c>
    </row>
    <row r="82" spans="1:23" hidden="1" x14ac:dyDescent="0.25">
      <c r="A82" s="6" t="s">
        <v>8</v>
      </c>
      <c r="B82" s="6" t="s">
        <v>9</v>
      </c>
      <c r="C82" s="19" t="s">
        <v>155</v>
      </c>
      <c r="D82" s="13" t="s">
        <v>98</v>
      </c>
      <c r="E82" s="14">
        <v>20</v>
      </c>
      <c r="F82" s="6" t="s">
        <v>122</v>
      </c>
      <c r="G82" s="42">
        <v>19.11</v>
      </c>
      <c r="H82" s="42">
        <v>4.5199999999999996</v>
      </c>
      <c r="I82" s="38">
        <f t="shared" ref="I82:I95" si="36">G82+H82</f>
        <v>23.63</v>
      </c>
      <c r="J82" s="39">
        <v>0.27779999999999999</v>
      </c>
      <c r="K82" s="40">
        <f t="shared" ref="K82:M95" si="37">$E82*G82*(1+$J82)</f>
        <v>488.37515999999999</v>
      </c>
      <c r="L82" s="40">
        <f t="shared" si="37"/>
        <v>115.51311999999999</v>
      </c>
      <c r="M82" s="40">
        <f t="shared" si="37"/>
        <v>603.88828000000001</v>
      </c>
      <c r="O82" s="34">
        <v>1</v>
      </c>
      <c r="P82" s="35">
        <f t="shared" ref="P82:P90" si="38">O82*$M82</f>
        <v>603.88828000000001</v>
      </c>
      <c r="Q82" s="28"/>
      <c r="R82" s="28"/>
      <c r="S82" s="28"/>
      <c r="T82" s="28"/>
      <c r="V82" s="29">
        <f t="shared" ref="V82:W95" si="39">O82+Q82+S82</f>
        <v>1</v>
      </c>
      <c r="W82" s="8">
        <f t="shared" si="39"/>
        <v>603.88828000000001</v>
      </c>
    </row>
    <row r="83" spans="1:23" hidden="1" x14ac:dyDescent="0.25">
      <c r="A83" s="6" t="s">
        <v>8</v>
      </c>
      <c r="B83" s="6" t="s">
        <v>10</v>
      </c>
      <c r="C83" s="19" t="s">
        <v>156</v>
      </c>
      <c r="D83" s="13" t="s">
        <v>100</v>
      </c>
      <c r="E83" s="14">
        <v>100</v>
      </c>
      <c r="F83" s="6" t="s">
        <v>122</v>
      </c>
      <c r="G83" s="42">
        <v>26.78</v>
      </c>
      <c r="H83" s="42">
        <v>6.65</v>
      </c>
      <c r="I83" s="38">
        <f t="shared" si="36"/>
        <v>33.43</v>
      </c>
      <c r="J83" s="39">
        <v>0.27779999999999999</v>
      </c>
      <c r="K83" s="40">
        <f t="shared" si="37"/>
        <v>3421.9484000000002</v>
      </c>
      <c r="L83" s="40">
        <f t="shared" si="37"/>
        <v>849.73700000000008</v>
      </c>
      <c r="M83" s="40">
        <f t="shared" si="37"/>
        <v>4271.6854000000003</v>
      </c>
      <c r="O83" s="34">
        <v>1</v>
      </c>
      <c r="P83" s="35">
        <f t="shared" si="38"/>
        <v>4271.6854000000003</v>
      </c>
      <c r="Q83" s="28"/>
      <c r="R83" s="28"/>
      <c r="S83" s="28"/>
      <c r="T83" s="28"/>
      <c r="V83" s="29">
        <f t="shared" si="39"/>
        <v>1</v>
      </c>
      <c r="W83" s="8">
        <f t="shared" si="39"/>
        <v>4271.6854000000003</v>
      </c>
    </row>
    <row r="84" spans="1:23" ht="30" hidden="1" x14ac:dyDescent="0.25">
      <c r="A84" s="6" t="s">
        <v>8</v>
      </c>
      <c r="B84" s="6" t="s">
        <v>11</v>
      </c>
      <c r="C84" s="19" t="s">
        <v>157</v>
      </c>
      <c r="D84" s="13" t="s">
        <v>101</v>
      </c>
      <c r="E84" s="14">
        <v>1</v>
      </c>
      <c r="F84" s="6" t="s">
        <v>122</v>
      </c>
      <c r="G84" s="42">
        <f>0.02+8.86</f>
        <v>8.879999999999999</v>
      </c>
      <c r="H84" s="42">
        <v>8.67</v>
      </c>
      <c r="I84" s="38">
        <f t="shared" si="36"/>
        <v>17.549999999999997</v>
      </c>
      <c r="J84" s="39">
        <v>0.27779999999999999</v>
      </c>
      <c r="K84" s="40">
        <f t="shared" si="37"/>
        <v>11.346863999999998</v>
      </c>
      <c r="L84" s="40">
        <f t="shared" si="37"/>
        <v>11.078526</v>
      </c>
      <c r="M84" s="40">
        <f t="shared" si="37"/>
        <v>22.425389999999997</v>
      </c>
      <c r="O84" s="34">
        <v>1</v>
      </c>
      <c r="P84" s="35">
        <f t="shared" si="38"/>
        <v>22.425389999999997</v>
      </c>
      <c r="Q84" s="28"/>
      <c r="R84" s="28"/>
      <c r="S84" s="28"/>
      <c r="T84" s="28"/>
      <c r="V84" s="29">
        <f t="shared" si="39"/>
        <v>1</v>
      </c>
      <c r="W84" s="8">
        <f t="shared" si="39"/>
        <v>22.425389999999997</v>
      </c>
    </row>
    <row r="85" spans="1:23" ht="30" hidden="1" x14ac:dyDescent="0.25">
      <c r="A85" s="6" t="s">
        <v>8</v>
      </c>
      <c r="B85" s="6" t="s">
        <v>12</v>
      </c>
      <c r="C85" s="19" t="s">
        <v>158</v>
      </c>
      <c r="D85" s="13" t="s">
        <v>102</v>
      </c>
      <c r="E85" s="14">
        <v>8</v>
      </c>
      <c r="F85" s="6" t="s">
        <v>122</v>
      </c>
      <c r="G85" s="42">
        <v>6.54</v>
      </c>
      <c r="H85" s="42">
        <v>6.5</v>
      </c>
      <c r="I85" s="38">
        <f t="shared" si="36"/>
        <v>13.04</v>
      </c>
      <c r="J85" s="39">
        <v>0.27779999999999999</v>
      </c>
      <c r="K85" s="40">
        <f t="shared" si="37"/>
        <v>66.854495999999997</v>
      </c>
      <c r="L85" s="40">
        <f t="shared" si="37"/>
        <v>66.445599999999999</v>
      </c>
      <c r="M85" s="40">
        <f t="shared" si="37"/>
        <v>133.300096</v>
      </c>
      <c r="O85" s="34">
        <v>1</v>
      </c>
      <c r="P85" s="35">
        <f t="shared" si="38"/>
        <v>133.300096</v>
      </c>
      <c r="Q85" s="28"/>
      <c r="R85" s="28"/>
      <c r="S85" s="28"/>
      <c r="T85" s="28"/>
      <c r="V85" s="29">
        <f t="shared" si="39"/>
        <v>1</v>
      </c>
      <c r="W85" s="8">
        <f t="shared" si="39"/>
        <v>133.300096</v>
      </c>
    </row>
    <row r="86" spans="1:23" ht="30" hidden="1" x14ac:dyDescent="0.25">
      <c r="A86" s="6" t="s">
        <v>8</v>
      </c>
      <c r="B86" s="6" t="s">
        <v>13</v>
      </c>
      <c r="C86" s="19" t="s">
        <v>159</v>
      </c>
      <c r="D86" s="13" t="s">
        <v>103</v>
      </c>
      <c r="E86" s="14">
        <v>6</v>
      </c>
      <c r="F86" s="6" t="s">
        <v>122</v>
      </c>
      <c r="G86" s="42">
        <v>5.65</v>
      </c>
      <c r="H86" s="42">
        <v>6.52</v>
      </c>
      <c r="I86" s="38">
        <f t="shared" si="36"/>
        <v>12.17</v>
      </c>
      <c r="J86" s="39">
        <v>0.27779999999999999</v>
      </c>
      <c r="K86" s="40">
        <f t="shared" si="37"/>
        <v>43.317420000000006</v>
      </c>
      <c r="L86" s="40">
        <f t="shared" si="37"/>
        <v>49.987535999999999</v>
      </c>
      <c r="M86" s="40">
        <f t="shared" si="37"/>
        <v>93.304956000000004</v>
      </c>
      <c r="O86" s="34">
        <v>1</v>
      </c>
      <c r="P86" s="35">
        <f t="shared" si="38"/>
        <v>93.304956000000004</v>
      </c>
      <c r="Q86" s="28"/>
      <c r="R86" s="28"/>
      <c r="S86" s="28"/>
      <c r="T86" s="28"/>
      <c r="V86" s="29">
        <f t="shared" si="39"/>
        <v>1</v>
      </c>
      <c r="W86" s="8">
        <f t="shared" si="39"/>
        <v>93.304956000000004</v>
      </c>
    </row>
    <row r="87" spans="1:23" ht="30" hidden="1" x14ac:dyDescent="0.25">
      <c r="A87" s="6" t="s">
        <v>8</v>
      </c>
      <c r="B87" s="6" t="s">
        <v>54</v>
      </c>
      <c r="C87" s="19" t="s">
        <v>160</v>
      </c>
      <c r="D87" s="13" t="s">
        <v>161</v>
      </c>
      <c r="E87" s="14">
        <v>20</v>
      </c>
      <c r="F87" s="6" t="s">
        <v>49</v>
      </c>
      <c r="G87" s="42">
        <v>7.65</v>
      </c>
      <c r="H87" s="42">
        <v>4.34</v>
      </c>
      <c r="I87" s="38">
        <f t="shared" si="36"/>
        <v>11.99</v>
      </c>
      <c r="J87" s="39">
        <v>0.27779999999999999</v>
      </c>
      <c r="K87" s="40">
        <f t="shared" si="37"/>
        <v>195.5034</v>
      </c>
      <c r="L87" s="40">
        <f t="shared" si="37"/>
        <v>110.91304</v>
      </c>
      <c r="M87" s="40">
        <f t="shared" si="37"/>
        <v>306.41644000000002</v>
      </c>
      <c r="O87" s="34">
        <v>1</v>
      </c>
      <c r="P87" s="35">
        <f t="shared" si="38"/>
        <v>306.41644000000002</v>
      </c>
      <c r="Q87" s="28"/>
      <c r="R87" s="28"/>
      <c r="S87" s="28"/>
      <c r="T87" s="28"/>
      <c r="V87" s="29">
        <f t="shared" si="39"/>
        <v>1</v>
      </c>
      <c r="W87" s="8">
        <f t="shared" si="39"/>
        <v>306.41644000000002</v>
      </c>
    </row>
    <row r="88" spans="1:23" ht="30" hidden="1" x14ac:dyDescent="0.25">
      <c r="A88" s="6" t="s">
        <v>8</v>
      </c>
      <c r="B88" s="6" t="s">
        <v>56</v>
      </c>
      <c r="C88" s="19" t="s">
        <v>162</v>
      </c>
      <c r="D88" s="13" t="s">
        <v>104</v>
      </c>
      <c r="E88" s="14">
        <v>0.1</v>
      </c>
      <c r="F88" s="6" t="s">
        <v>206</v>
      </c>
      <c r="G88" s="42">
        <v>24.67</v>
      </c>
      <c r="H88" s="42">
        <v>0</v>
      </c>
      <c r="I88" s="38">
        <f t="shared" si="36"/>
        <v>24.67</v>
      </c>
      <c r="J88" s="39">
        <v>0.27779999999999999</v>
      </c>
      <c r="K88" s="40">
        <f t="shared" si="37"/>
        <v>3.1523326000000007</v>
      </c>
      <c r="L88" s="40">
        <f t="shared" si="37"/>
        <v>0</v>
      </c>
      <c r="M88" s="40">
        <f t="shared" si="37"/>
        <v>3.1523326000000007</v>
      </c>
      <c r="O88" s="34">
        <v>1</v>
      </c>
      <c r="P88" s="35">
        <f t="shared" si="38"/>
        <v>3.1523326000000007</v>
      </c>
      <c r="Q88" s="28"/>
      <c r="R88" s="28"/>
      <c r="S88" s="28"/>
      <c r="T88" s="28"/>
      <c r="V88" s="29">
        <f t="shared" si="39"/>
        <v>1</v>
      </c>
      <c r="W88" s="8">
        <f t="shared" si="39"/>
        <v>3.1523326000000007</v>
      </c>
    </row>
    <row r="89" spans="1:23" ht="30" hidden="1" x14ac:dyDescent="0.25">
      <c r="A89" s="6" t="s">
        <v>8</v>
      </c>
      <c r="B89" s="6" t="s">
        <v>105</v>
      </c>
      <c r="C89" s="19" t="s">
        <v>163</v>
      </c>
      <c r="D89" s="13" t="s">
        <v>106</v>
      </c>
      <c r="E89" s="14">
        <v>9</v>
      </c>
      <c r="F89" s="6" t="s">
        <v>53</v>
      </c>
      <c r="G89" s="42">
        <f>0.18+16.24</f>
        <v>16.419999999999998</v>
      </c>
      <c r="H89" s="42">
        <v>36.15</v>
      </c>
      <c r="I89" s="38">
        <f t="shared" si="36"/>
        <v>52.569999999999993</v>
      </c>
      <c r="J89" s="39">
        <v>0.27779999999999999</v>
      </c>
      <c r="K89" s="40">
        <f t="shared" si="37"/>
        <v>188.83328399999996</v>
      </c>
      <c r="L89" s="40">
        <f t="shared" si="37"/>
        <v>415.73222999999996</v>
      </c>
      <c r="M89" s="40">
        <f t="shared" si="37"/>
        <v>604.56551399999989</v>
      </c>
      <c r="O89" s="34">
        <v>1</v>
      </c>
      <c r="P89" s="35">
        <f t="shared" si="38"/>
        <v>604.56551399999989</v>
      </c>
      <c r="Q89" s="28"/>
      <c r="R89" s="28"/>
      <c r="S89" s="28"/>
      <c r="T89" s="28"/>
      <c r="V89" s="29">
        <f t="shared" si="39"/>
        <v>1</v>
      </c>
      <c r="W89" s="8">
        <f t="shared" si="39"/>
        <v>604.56551399999989</v>
      </c>
    </row>
    <row r="90" spans="1:23" hidden="1" x14ac:dyDescent="0.25">
      <c r="A90" s="6" t="s">
        <v>8</v>
      </c>
      <c r="B90" s="6" t="s">
        <v>107</v>
      </c>
      <c r="C90" s="19" t="s">
        <v>164</v>
      </c>
      <c r="D90" s="13" t="s">
        <v>108</v>
      </c>
      <c r="E90" s="14">
        <v>9</v>
      </c>
      <c r="F90" s="6" t="s">
        <v>53</v>
      </c>
      <c r="G90" s="42">
        <f>0.11+9.82</f>
        <v>9.93</v>
      </c>
      <c r="H90" s="42">
        <v>21.94</v>
      </c>
      <c r="I90" s="38">
        <f t="shared" si="36"/>
        <v>31.87</v>
      </c>
      <c r="J90" s="39">
        <v>0.27779999999999999</v>
      </c>
      <c r="K90" s="40">
        <f t="shared" si="37"/>
        <v>114.19698600000001</v>
      </c>
      <c r="L90" s="40">
        <f t="shared" si="37"/>
        <v>252.31438800000001</v>
      </c>
      <c r="M90" s="40">
        <f t="shared" si="37"/>
        <v>366.51137399999999</v>
      </c>
      <c r="O90" s="34">
        <v>1</v>
      </c>
      <c r="P90" s="35">
        <f t="shared" si="38"/>
        <v>366.51137399999999</v>
      </c>
      <c r="Q90" s="28"/>
      <c r="R90" s="28"/>
      <c r="S90" s="28"/>
      <c r="T90" s="28"/>
      <c r="V90" s="29">
        <f t="shared" si="39"/>
        <v>1</v>
      </c>
      <c r="W90" s="8">
        <f t="shared" si="39"/>
        <v>366.51137399999999</v>
      </c>
    </row>
    <row r="91" spans="1:23" hidden="1" x14ac:dyDescent="0.25">
      <c r="A91" s="45" t="s">
        <v>109</v>
      </c>
      <c r="B91" s="45" t="s">
        <v>110</v>
      </c>
      <c r="C91" s="46" t="s">
        <v>17</v>
      </c>
      <c r="D91" s="13" t="s">
        <v>111</v>
      </c>
      <c r="E91" s="14">
        <v>1</v>
      </c>
      <c r="F91" s="6" t="s">
        <v>122</v>
      </c>
      <c r="G91" s="42">
        <v>134.75</v>
      </c>
      <c r="H91" s="42">
        <v>0</v>
      </c>
      <c r="I91" s="38">
        <f t="shared" si="36"/>
        <v>134.75</v>
      </c>
      <c r="J91" s="39">
        <v>0.27779999999999999</v>
      </c>
      <c r="K91" s="40">
        <f t="shared" si="37"/>
        <v>172.18355</v>
      </c>
      <c r="L91" s="40">
        <f t="shared" si="37"/>
        <v>0</v>
      </c>
      <c r="M91" s="40">
        <f t="shared" si="37"/>
        <v>172.18355</v>
      </c>
      <c r="O91" s="28"/>
      <c r="P91" s="28"/>
      <c r="Q91" s="28"/>
      <c r="R91" s="28"/>
      <c r="S91" s="34">
        <v>1</v>
      </c>
      <c r="T91" s="35">
        <f t="shared" ref="T91:T95" si="40">S91*$M91</f>
        <v>172.18355</v>
      </c>
      <c r="V91" s="29">
        <f t="shared" si="39"/>
        <v>1</v>
      </c>
      <c r="W91" s="8">
        <f t="shared" si="39"/>
        <v>172.18355</v>
      </c>
    </row>
    <row r="92" spans="1:23" hidden="1" x14ac:dyDescent="0.25">
      <c r="A92" s="45" t="s">
        <v>109</v>
      </c>
      <c r="B92" s="45" t="s">
        <v>112</v>
      </c>
      <c r="C92" s="46" t="s">
        <v>17</v>
      </c>
      <c r="D92" s="13" t="s">
        <v>113</v>
      </c>
      <c r="E92" s="14">
        <v>1</v>
      </c>
      <c r="F92" s="6" t="s">
        <v>49</v>
      </c>
      <c r="G92" s="42">
        <v>71.19</v>
      </c>
      <c r="H92" s="42">
        <v>0</v>
      </c>
      <c r="I92" s="38">
        <f t="shared" si="36"/>
        <v>71.19</v>
      </c>
      <c r="J92" s="39">
        <v>0.27779999999999999</v>
      </c>
      <c r="K92" s="40">
        <f t="shared" si="37"/>
        <v>90.966582000000002</v>
      </c>
      <c r="L92" s="40">
        <f t="shared" si="37"/>
        <v>0</v>
      </c>
      <c r="M92" s="40">
        <f t="shared" si="37"/>
        <v>90.966582000000002</v>
      </c>
      <c r="O92" s="28"/>
      <c r="P92" s="28"/>
      <c r="Q92" s="28"/>
      <c r="R92" s="28"/>
      <c r="S92" s="34">
        <v>1</v>
      </c>
      <c r="T92" s="35">
        <f t="shared" si="40"/>
        <v>90.966582000000002</v>
      </c>
      <c r="V92" s="29">
        <f t="shared" si="39"/>
        <v>1</v>
      </c>
      <c r="W92" s="8">
        <f t="shared" si="39"/>
        <v>90.966582000000002</v>
      </c>
    </row>
    <row r="93" spans="1:23" ht="30" hidden="1" x14ac:dyDescent="0.25">
      <c r="A93" s="45" t="s">
        <v>109</v>
      </c>
      <c r="B93" s="45" t="s">
        <v>114</v>
      </c>
      <c r="C93" s="46" t="s">
        <v>17</v>
      </c>
      <c r="D93" s="13" t="s">
        <v>115</v>
      </c>
      <c r="E93" s="14">
        <v>10</v>
      </c>
      <c r="F93" s="6" t="s">
        <v>122</v>
      </c>
      <c r="G93" s="42">
        <v>7.15</v>
      </c>
      <c r="H93" s="42">
        <v>0</v>
      </c>
      <c r="I93" s="38">
        <f t="shared" si="36"/>
        <v>7.15</v>
      </c>
      <c r="J93" s="39">
        <v>0.27779999999999999</v>
      </c>
      <c r="K93" s="40">
        <f t="shared" si="37"/>
        <v>91.362700000000004</v>
      </c>
      <c r="L93" s="40">
        <f t="shared" si="37"/>
        <v>0</v>
      </c>
      <c r="M93" s="40">
        <f t="shared" si="37"/>
        <v>91.362700000000004</v>
      </c>
      <c r="O93" s="28"/>
      <c r="P93" s="28"/>
      <c r="Q93" s="28"/>
      <c r="R93" s="28"/>
      <c r="S93" s="34">
        <v>1</v>
      </c>
      <c r="T93" s="35">
        <f t="shared" si="40"/>
        <v>91.362700000000004</v>
      </c>
      <c r="V93" s="29">
        <f t="shared" si="39"/>
        <v>1</v>
      </c>
      <c r="W93" s="8">
        <f t="shared" si="39"/>
        <v>91.362700000000004</v>
      </c>
    </row>
    <row r="94" spans="1:23" ht="30" hidden="1" x14ac:dyDescent="0.25">
      <c r="A94" s="6" t="s">
        <v>8</v>
      </c>
      <c r="B94" s="6" t="s">
        <v>116</v>
      </c>
      <c r="C94" s="19" t="s">
        <v>166</v>
      </c>
      <c r="D94" s="13" t="s">
        <v>117</v>
      </c>
      <c r="E94" s="14">
        <v>10</v>
      </c>
      <c r="F94" s="6" t="s">
        <v>122</v>
      </c>
      <c r="G94" s="42">
        <v>0.11</v>
      </c>
      <c r="H94" s="42">
        <v>0</v>
      </c>
      <c r="I94" s="38">
        <f t="shared" si="36"/>
        <v>0.11</v>
      </c>
      <c r="J94" s="39">
        <v>0.27779999999999999</v>
      </c>
      <c r="K94" s="40">
        <f t="shared" si="37"/>
        <v>1.4055800000000003</v>
      </c>
      <c r="L94" s="40">
        <f t="shared" si="37"/>
        <v>0</v>
      </c>
      <c r="M94" s="40">
        <f t="shared" si="37"/>
        <v>1.4055800000000003</v>
      </c>
      <c r="O94" s="28"/>
      <c r="P94" s="28"/>
      <c r="Q94" s="28"/>
      <c r="R94" s="28"/>
      <c r="S94" s="34">
        <v>1</v>
      </c>
      <c r="T94" s="35">
        <f t="shared" si="40"/>
        <v>1.4055800000000003</v>
      </c>
      <c r="V94" s="29">
        <f t="shared" si="39"/>
        <v>1</v>
      </c>
      <c r="W94" s="8">
        <f t="shared" si="39"/>
        <v>1.4055800000000003</v>
      </c>
    </row>
    <row r="95" spans="1:23" hidden="1" x14ac:dyDescent="0.25">
      <c r="A95" s="6" t="s">
        <v>8</v>
      </c>
      <c r="B95" s="6" t="s">
        <v>118</v>
      </c>
      <c r="C95" s="19" t="s">
        <v>165</v>
      </c>
      <c r="D95" s="13" t="s">
        <v>119</v>
      </c>
      <c r="E95" s="14">
        <v>10</v>
      </c>
      <c r="F95" s="6" t="s">
        <v>122</v>
      </c>
      <c r="G95" s="42">
        <v>0.16</v>
      </c>
      <c r="H95" s="42">
        <v>0</v>
      </c>
      <c r="I95" s="38">
        <f t="shared" si="36"/>
        <v>0.16</v>
      </c>
      <c r="J95" s="39">
        <v>0.27779999999999999</v>
      </c>
      <c r="K95" s="40">
        <f t="shared" si="37"/>
        <v>2.0444800000000001</v>
      </c>
      <c r="L95" s="40">
        <f t="shared" si="37"/>
        <v>0</v>
      </c>
      <c r="M95" s="40">
        <f t="shared" si="37"/>
        <v>2.0444800000000001</v>
      </c>
      <c r="O95" s="28"/>
      <c r="P95" s="28"/>
      <c r="Q95" s="28"/>
      <c r="R95" s="28"/>
      <c r="S95" s="34">
        <v>1</v>
      </c>
      <c r="T95" s="35">
        <f t="shared" si="40"/>
        <v>2.0444800000000001</v>
      </c>
      <c r="V95" s="29">
        <f t="shared" si="39"/>
        <v>1</v>
      </c>
      <c r="W95" s="8">
        <f t="shared" si="39"/>
        <v>2.0444800000000001</v>
      </c>
    </row>
    <row r="96" spans="1:23" x14ac:dyDescent="0.25">
      <c r="I96" s="32" t="s">
        <v>40</v>
      </c>
      <c r="J96" s="32"/>
      <c r="K96" s="33">
        <f t="shared" ref="K96:L96" si="41">SUM(K82:K95)</f>
        <v>4891.4912345999983</v>
      </c>
      <c r="L96" s="33">
        <f t="shared" si="41"/>
        <v>1871.72144</v>
      </c>
      <c r="M96" s="33">
        <f>SUM(M82:M95)</f>
        <v>6763.2126745999985</v>
      </c>
      <c r="P96" s="33">
        <f>SUM(P82:P95)</f>
        <v>6405.2497825999999</v>
      </c>
      <c r="R96" s="33">
        <f>SUM(R82:R95)</f>
        <v>0</v>
      </c>
      <c r="T96" s="33">
        <f>SUM(T82:T95)</f>
        <v>357.96289200000001</v>
      </c>
    </row>
    <row r="98" spans="4:23" x14ac:dyDescent="0.25">
      <c r="D98" s="87" t="s">
        <v>42</v>
      </c>
      <c r="L98" s="30" t="s">
        <v>42</v>
      </c>
      <c r="M98" s="31">
        <f>SUM(M10:M96)/2</f>
        <v>513479.60754070582</v>
      </c>
      <c r="O98" s="88">
        <f>P98/$M$98</f>
        <v>9.0597809551866498E-2</v>
      </c>
      <c r="P98" s="31">
        <f>SUM(P10:P96)/2</f>
        <v>46520.127692740018</v>
      </c>
      <c r="Q98" s="88">
        <f>R98/$M$98</f>
        <v>0.29740465748573597</v>
      </c>
      <c r="R98" s="31">
        <f>SUM(R10:R96)/2</f>
        <v>152711.22680655375</v>
      </c>
      <c r="S98" s="88">
        <f>T98/$M$98</f>
        <v>0.61199753296239745</v>
      </c>
      <c r="T98" s="31">
        <f>SUM(T10:T96)/2</f>
        <v>314248.25304141204</v>
      </c>
      <c r="W98" s="85">
        <f>SUM(W10:W96)</f>
        <v>513479.60754070594</v>
      </c>
    </row>
    <row r="99" spans="4:23" x14ac:dyDescent="0.25">
      <c r="D99" s="80"/>
    </row>
    <row r="100" spans="4:23" x14ac:dyDescent="0.25">
      <c r="D100" s="81" t="s">
        <v>214</v>
      </c>
      <c r="O100" s="88">
        <f>P100/$M$98</f>
        <v>9.0597809551866498E-2</v>
      </c>
      <c r="P100" s="89">
        <f>P98</f>
        <v>46520.127692740018</v>
      </c>
      <c r="Q100" s="88">
        <f>R100/$M$98</f>
        <v>0.38800246703760249</v>
      </c>
      <c r="R100" s="89">
        <f>R98+P100</f>
        <v>199231.35449929378</v>
      </c>
      <c r="S100" s="88">
        <f>T100/$M$98</f>
        <v>1</v>
      </c>
      <c r="T100" s="89">
        <f>T98+R100</f>
        <v>513479.60754070582</v>
      </c>
    </row>
  </sheetData>
  <mergeCells count="27">
    <mergeCell ref="A80:M80"/>
    <mergeCell ref="O80:T80"/>
    <mergeCell ref="A54:M54"/>
    <mergeCell ref="O54:T54"/>
    <mergeCell ref="A71:M71"/>
    <mergeCell ref="A72:M72"/>
    <mergeCell ref="O72:T72"/>
    <mergeCell ref="A79:M79"/>
    <mergeCell ref="A26:M26"/>
    <mergeCell ref="O26:T26"/>
    <mergeCell ref="A33:M33"/>
    <mergeCell ref="A34:M34"/>
    <mergeCell ref="O34:T34"/>
    <mergeCell ref="A45:M45"/>
    <mergeCell ref="O45:T45"/>
    <mergeCell ref="A8:M8"/>
    <mergeCell ref="O8:T8"/>
    <mergeCell ref="A15:M15"/>
    <mergeCell ref="A16:M16"/>
    <mergeCell ref="O16:T16"/>
    <mergeCell ref="A25:M25"/>
    <mergeCell ref="O2:T2"/>
    <mergeCell ref="O4:P4"/>
    <mergeCell ref="Q4:R4"/>
    <mergeCell ref="S4:T4"/>
    <mergeCell ref="A5:M5"/>
    <mergeCell ref="A7:M7"/>
  </mergeCells>
  <conditionalFormatting sqref="W10">
    <cfRule type="cellIs" dxfId="11" priority="12" operator="equal">
      <formula>M10</formula>
    </cfRule>
  </conditionalFormatting>
  <conditionalFormatting sqref="W11">
    <cfRule type="cellIs" dxfId="10" priority="11" operator="equal">
      <formula>M11</formula>
    </cfRule>
  </conditionalFormatting>
  <conditionalFormatting sqref="W12">
    <cfRule type="cellIs" dxfId="9" priority="10" operator="equal">
      <formula>M12</formula>
    </cfRule>
  </conditionalFormatting>
  <conditionalFormatting sqref="W18:W22">
    <cfRule type="cellIs" dxfId="8" priority="9" operator="equal">
      <formula>M18</formula>
    </cfRule>
  </conditionalFormatting>
  <conditionalFormatting sqref="W28:W30">
    <cfRule type="cellIs" dxfId="7" priority="8" operator="equal">
      <formula>M28</formula>
    </cfRule>
  </conditionalFormatting>
  <conditionalFormatting sqref="W36:W42">
    <cfRule type="cellIs" dxfId="6" priority="7" operator="equal">
      <formula>M36</formula>
    </cfRule>
  </conditionalFormatting>
  <conditionalFormatting sqref="W47:W51">
    <cfRule type="cellIs" dxfId="5" priority="6" operator="equal">
      <formula>M47</formula>
    </cfRule>
  </conditionalFormatting>
  <conditionalFormatting sqref="W56:W64">
    <cfRule type="cellIs" dxfId="4" priority="5" operator="equal">
      <formula>M56</formula>
    </cfRule>
  </conditionalFormatting>
  <conditionalFormatting sqref="W65:W68">
    <cfRule type="cellIs" dxfId="3" priority="4" operator="equal">
      <formula>M65</formula>
    </cfRule>
  </conditionalFormatting>
  <conditionalFormatting sqref="W74:W76">
    <cfRule type="cellIs" dxfId="2" priority="3" operator="equal">
      <formula>M74</formula>
    </cfRule>
  </conditionalFormatting>
  <conditionalFormatting sqref="W82:W93">
    <cfRule type="cellIs" dxfId="1" priority="2" operator="equal">
      <formula>M82</formula>
    </cfRule>
  </conditionalFormatting>
  <conditionalFormatting sqref="W94:W95">
    <cfRule type="cellIs" dxfId="0" priority="1" operator="equal">
      <formula>M94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PQCU</vt:lpstr>
      <vt:lpstr>PCCU</vt:lpstr>
      <vt:lpstr>Cronograma Descritivo</vt:lpstr>
      <vt:lpstr>Cronograma 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2018-11-13T19:02:21Z</dcterms:modified>
</cp:coreProperties>
</file>